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Moss\Documents\Tim M\PF\UPGS\"/>
    </mc:Choice>
  </mc:AlternateContent>
  <xr:revisionPtr revIDLastSave="0" documentId="13_ncr:1_{A59AE1C2-976A-43E7-8B62-58F20D58DE87}" xr6:coauthVersionLast="47" xr6:coauthVersionMax="47" xr10:uidLastSave="{00000000-0000-0000-0000-000000000000}"/>
  <workbookProtection workbookAlgorithmName="SHA-512" workbookHashValue="P9tlnCY5njGaPjRD8Ph+2U8dX/50kkq5RbAUo/9NYwO+MA+U2viBglGtzS5bPp2qTuh0THlwB3NM38sW/CmEpA==" workbookSaltValue="K3Gx+IdgUgpdP/aki3KUmQ==" workbookSpinCount="100000" lockStructure="1"/>
  <bookViews>
    <workbookView xWindow="-108" yWindow="-108" windowWidth="23256" windowHeight="12456" firstSheet="1" activeTab="1" xr2:uid="{4464965C-57E2-470B-B959-64ECF7EB36CC}"/>
  </bookViews>
  <sheets>
    <sheet name="cover" sheetId="1" state="hidden" r:id="rId1"/>
    <sheet name="summary" sheetId="11" r:id="rId2"/>
    <sheet name="WACC" sheetId="12" r:id="rId3"/>
    <sheet name="detailed-financials" sheetId="4" r:id="rId4"/>
    <sheet name="checks" sheetId="6" r:id="rId5"/>
    <sheet name="sources&gt;&gt;&gt;" sheetId="13" r:id="rId6"/>
    <sheet name="forecasts" sheetId="14" r:id="rId7"/>
    <sheet name="p&amp;l" sheetId="17" r:id="rId8"/>
    <sheet name="bs" sheetId="16" r:id="rId9"/>
    <sheet name="cf" sheetId="15" r:id="rId10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M33" i="11"/>
  <c r="M20" i="11"/>
  <c r="M29" i="11"/>
  <c r="E12" i="12" s="1"/>
  <c r="I11" i="12"/>
  <c r="L12" i="11"/>
  <c r="L11" i="11"/>
  <c r="L10" i="11"/>
  <c r="E14" i="1"/>
  <c r="D23" i="1"/>
  <c r="N35" i="11" l="1"/>
  <c r="O35" i="11" s="1"/>
  <c r="P35" i="11" s="1"/>
  <c r="Q35" i="11" s="1"/>
  <c r="R35" i="11" s="1"/>
  <c r="S35" i="11" s="1"/>
  <c r="F54" i="4"/>
  <c r="E54" i="4"/>
  <c r="L50" i="4"/>
  <c r="K50" i="4"/>
  <c r="J50" i="4"/>
  <c r="I50" i="4"/>
  <c r="H50" i="4"/>
  <c r="G50" i="4"/>
  <c r="F50" i="4"/>
  <c r="E50" i="4"/>
  <c r="E56" i="4"/>
  <c r="F56" i="4"/>
  <c r="M6" i="4"/>
  <c r="I10" i="12"/>
  <c r="N28" i="11"/>
  <c r="O28" i="11" s="1"/>
  <c r="P28" i="11" s="1"/>
  <c r="Q28" i="11" s="1"/>
  <c r="R28" i="11" s="1"/>
  <c r="S28" i="11" s="1"/>
  <c r="O24" i="11"/>
  <c r="N24" i="11"/>
  <c r="M24" i="11"/>
  <c r="E93" i="4"/>
  <c r="E91" i="4"/>
  <c r="E15" i="4"/>
  <c r="B63" i="11"/>
  <c r="D11" i="11"/>
  <c r="E65" i="11" s="1"/>
  <c r="D12" i="11"/>
  <c r="P9" i="11"/>
  <c r="I17" i="12"/>
  <c r="I16" i="12"/>
  <c r="I15" i="12"/>
  <c r="I12" i="12"/>
  <c r="E20" i="11"/>
  <c r="M7" i="4" l="1"/>
  <c r="E98" i="4"/>
  <c r="E95" i="4"/>
  <c r="E85" i="4"/>
  <c r="E81" i="4"/>
  <c r="E86" i="4"/>
  <c r="E89" i="4"/>
  <c r="E87" i="4"/>
  <c r="E88" i="4"/>
  <c r="E78" i="4"/>
  <c r="E36" i="11" s="1"/>
  <c r="E82" i="4"/>
  <c r="E79" i="4"/>
  <c r="E84" i="4"/>
  <c r="E80" i="4"/>
  <c r="E37" i="11" s="1"/>
  <c r="E77" i="4"/>
  <c r="E57" i="4"/>
  <c r="E53" i="4"/>
  <c r="E73" i="4"/>
  <c r="E62" i="4"/>
  <c r="E67" i="4"/>
  <c r="E64" i="4"/>
  <c r="E59" i="4"/>
  <c r="E36" i="4"/>
  <c r="E37" i="4"/>
  <c r="E40" i="4"/>
  <c r="E25" i="4"/>
  <c r="E38" i="4"/>
  <c r="E29" i="4"/>
  <c r="E27" i="4"/>
  <c r="E35" i="4"/>
  <c r="E49" i="4"/>
  <c r="E51" i="4" s="1"/>
  <c r="E26" i="4"/>
  <c r="E30" i="4"/>
  <c r="E28" i="4"/>
  <c r="E17" i="4"/>
  <c r="E21" i="4"/>
  <c r="E18" i="4"/>
  <c r="E19" i="4"/>
  <c r="E20" i="4"/>
  <c r="E19" i="11"/>
  <c r="F19" i="11"/>
  <c r="E12" i="4"/>
  <c r="E34" i="11" s="1"/>
  <c r="E16" i="4"/>
  <c r="E14" i="4"/>
  <c r="E45" i="11" l="1"/>
  <c r="E26" i="11"/>
  <c r="E52" i="4"/>
  <c r="E60" i="11"/>
  <c r="E33" i="11"/>
  <c r="E94" i="4"/>
  <c r="E96" i="4" s="1"/>
  <c r="E99" i="4" s="1"/>
  <c r="E90" i="4"/>
  <c r="E43" i="11"/>
  <c r="E46" i="11" s="1"/>
  <c r="F93" i="4"/>
  <c r="F95" i="4"/>
  <c r="F98" i="4"/>
  <c r="E75" i="4"/>
  <c r="E58" i="4"/>
  <c r="E30" i="11" s="1"/>
  <c r="F88" i="4"/>
  <c r="F91" i="4"/>
  <c r="F87" i="4"/>
  <c r="F86" i="4"/>
  <c r="F89" i="4"/>
  <c r="F85" i="4"/>
  <c r="E83" i="4"/>
  <c r="F80" i="4"/>
  <c r="F37" i="11" s="1"/>
  <c r="F81" i="4"/>
  <c r="F84" i="4"/>
  <c r="F79" i="4"/>
  <c r="F82" i="4"/>
  <c r="F78" i="4"/>
  <c r="F36" i="11" s="1"/>
  <c r="F73" i="4"/>
  <c r="F77" i="4"/>
  <c r="F57" i="4"/>
  <c r="F53" i="4"/>
  <c r="F64" i="4"/>
  <c r="F67" i="4"/>
  <c r="F62" i="4"/>
  <c r="F59" i="4"/>
  <c r="E55" i="4"/>
  <c r="F35" i="4"/>
  <c r="F40" i="4"/>
  <c r="F38" i="4"/>
  <c r="F37" i="4"/>
  <c r="F49" i="4"/>
  <c r="F36" i="4"/>
  <c r="E24" i="4"/>
  <c r="E43" i="4"/>
  <c r="E39" i="4"/>
  <c r="E31" i="4"/>
  <c r="F27" i="4"/>
  <c r="F28" i="4"/>
  <c r="F30" i="4"/>
  <c r="F25" i="4"/>
  <c r="F26" i="4"/>
  <c r="F29" i="4"/>
  <c r="F18" i="4"/>
  <c r="F19" i="4"/>
  <c r="F21" i="4"/>
  <c r="F17" i="4"/>
  <c r="F20" i="4"/>
  <c r="E22" i="4"/>
  <c r="E13" i="4"/>
  <c r="E31" i="11" s="1"/>
  <c r="F7" i="4"/>
  <c r="F20" i="11" s="1"/>
  <c r="F16" i="4"/>
  <c r="F12" i="4"/>
  <c r="F34" i="11" s="1"/>
  <c r="F14" i="4"/>
  <c r="F15" i="4"/>
  <c r="G19" i="11"/>
  <c r="E66" i="11"/>
  <c r="F65" i="11"/>
  <c r="E63" i="11"/>
  <c r="F60" i="11" l="1"/>
  <c r="F43" i="11"/>
  <c r="F44" i="11" s="1"/>
  <c r="F51" i="4"/>
  <c r="E32" i="11"/>
  <c r="F33" i="11"/>
  <c r="F47" i="11"/>
  <c r="F49" i="11"/>
  <c r="F29" i="11"/>
  <c r="E39" i="11"/>
  <c r="G98" i="4"/>
  <c r="G95" i="4"/>
  <c r="G93" i="4"/>
  <c r="F24" i="11"/>
  <c r="F90" i="4"/>
  <c r="F94" i="4"/>
  <c r="F75" i="4"/>
  <c r="G87" i="4"/>
  <c r="G89" i="4"/>
  <c r="G86" i="4"/>
  <c r="G85" i="4"/>
  <c r="G88" i="4"/>
  <c r="G91" i="4"/>
  <c r="G84" i="4"/>
  <c r="G79" i="4"/>
  <c r="G82" i="4"/>
  <c r="G78" i="4"/>
  <c r="G36" i="11" s="1"/>
  <c r="G80" i="4"/>
  <c r="G37" i="11" s="1"/>
  <c r="G81" i="4"/>
  <c r="F83" i="4"/>
  <c r="G73" i="4"/>
  <c r="G77" i="4"/>
  <c r="G53" i="4"/>
  <c r="F72" i="4"/>
  <c r="F55" i="4"/>
  <c r="F28" i="11" s="1"/>
  <c r="G64" i="4"/>
  <c r="G67" i="4"/>
  <c r="G62" i="4"/>
  <c r="G54" i="4"/>
  <c r="G57" i="4"/>
  <c r="G60" i="11" s="1"/>
  <c r="G59" i="4"/>
  <c r="G56" i="4"/>
  <c r="G35" i="4"/>
  <c r="G38" i="4"/>
  <c r="G40" i="4"/>
  <c r="G37" i="4"/>
  <c r="G49" i="4"/>
  <c r="G36" i="4"/>
  <c r="F39" i="4"/>
  <c r="F43" i="4"/>
  <c r="E33" i="4"/>
  <c r="E45" i="4" s="1"/>
  <c r="G27" i="4"/>
  <c r="G26" i="4"/>
  <c r="G30" i="4"/>
  <c r="G29" i="4"/>
  <c r="G25" i="4"/>
  <c r="G28" i="4"/>
  <c r="F24" i="4"/>
  <c r="F31" i="4"/>
  <c r="G16" i="4"/>
  <c r="G19" i="4"/>
  <c r="G18" i="4"/>
  <c r="G21" i="4"/>
  <c r="G17" i="4"/>
  <c r="G20" i="4"/>
  <c r="F22" i="4"/>
  <c r="G12" i="4"/>
  <c r="G34" i="11" s="1"/>
  <c r="F13" i="4"/>
  <c r="F31" i="11" s="1"/>
  <c r="G7" i="4"/>
  <c r="G20" i="11" s="1"/>
  <c r="G14" i="4"/>
  <c r="G15" i="4"/>
  <c r="F63" i="11"/>
  <c r="F66" i="11"/>
  <c r="G65" i="11"/>
  <c r="F45" i="11" l="1"/>
  <c r="F46" i="11" s="1"/>
  <c r="F26" i="11"/>
  <c r="F52" i="4"/>
  <c r="F27" i="11" s="1"/>
  <c r="G43" i="11"/>
  <c r="G44" i="11" s="1"/>
  <c r="G51" i="4"/>
  <c r="G52" i="4"/>
  <c r="G27" i="11" s="1"/>
  <c r="G33" i="11"/>
  <c r="H19" i="11"/>
  <c r="G47" i="11"/>
  <c r="G29" i="11"/>
  <c r="G49" i="11"/>
  <c r="E38" i="11"/>
  <c r="G24" i="11"/>
  <c r="G94" i="4"/>
  <c r="G96" i="4" s="1"/>
  <c r="G99" i="4" s="1"/>
  <c r="G72" i="4"/>
  <c r="F74" i="4"/>
  <c r="F76" i="4" s="1"/>
  <c r="H98" i="4"/>
  <c r="H95" i="4"/>
  <c r="H93" i="4"/>
  <c r="G75" i="4"/>
  <c r="G83" i="4"/>
  <c r="H87" i="4"/>
  <c r="H86" i="4"/>
  <c r="H85" i="4"/>
  <c r="H91" i="4"/>
  <c r="H88" i="4"/>
  <c r="H89" i="4"/>
  <c r="G90" i="4"/>
  <c r="H84" i="4"/>
  <c r="H79" i="4"/>
  <c r="H82" i="4"/>
  <c r="H78" i="4"/>
  <c r="H36" i="11" s="1"/>
  <c r="H80" i="4"/>
  <c r="H37" i="11" s="1"/>
  <c r="H81" i="4"/>
  <c r="H73" i="4"/>
  <c r="H77" i="4"/>
  <c r="H53" i="4"/>
  <c r="H67" i="4"/>
  <c r="H62" i="4"/>
  <c r="H64" i="4"/>
  <c r="G58" i="4"/>
  <c r="G60" i="4" s="1"/>
  <c r="G55" i="4"/>
  <c r="G28" i="11" s="1"/>
  <c r="H54" i="4"/>
  <c r="H57" i="4"/>
  <c r="H60" i="11" s="1"/>
  <c r="H59" i="4"/>
  <c r="H56" i="4"/>
  <c r="G43" i="4"/>
  <c r="G39" i="4"/>
  <c r="H38" i="4"/>
  <c r="H37" i="4"/>
  <c r="H35" i="4"/>
  <c r="H49" i="4"/>
  <c r="H40" i="4"/>
  <c r="H36" i="4"/>
  <c r="F33" i="4"/>
  <c r="F45" i="4" s="1"/>
  <c r="G24" i="4"/>
  <c r="G32" i="11" s="1"/>
  <c r="G31" i="4"/>
  <c r="H12" i="4"/>
  <c r="H34" i="11" s="1"/>
  <c r="H30" i="4"/>
  <c r="H27" i="4"/>
  <c r="H26" i="4"/>
  <c r="H29" i="4"/>
  <c r="H25" i="4"/>
  <c r="H28" i="4"/>
  <c r="I19" i="11"/>
  <c r="H16" i="4"/>
  <c r="H18" i="4"/>
  <c r="H21" i="4"/>
  <c r="H17" i="4"/>
  <c r="H20" i="4"/>
  <c r="H19" i="4"/>
  <c r="G22" i="4"/>
  <c r="G13" i="4"/>
  <c r="G31" i="11" s="1"/>
  <c r="H15" i="4"/>
  <c r="H7" i="4"/>
  <c r="H20" i="11" s="1"/>
  <c r="H14" i="4"/>
  <c r="G66" i="11"/>
  <c r="G63" i="11"/>
  <c r="H65" i="11"/>
  <c r="F32" i="11" l="1"/>
  <c r="H33" i="11"/>
  <c r="G51" i="11"/>
  <c r="G65" i="4"/>
  <c r="G54" i="11" s="1"/>
  <c r="G55" i="11" s="1"/>
  <c r="G63" i="4"/>
  <c r="G45" i="11"/>
  <c r="G46" i="11" s="1"/>
  <c r="G26" i="11"/>
  <c r="H43" i="11"/>
  <c r="H44" i="11" s="1"/>
  <c r="H51" i="4"/>
  <c r="H52" i="4" s="1"/>
  <c r="H27" i="11" s="1"/>
  <c r="G68" i="4"/>
  <c r="G30" i="11"/>
  <c r="G39" i="11" s="1"/>
  <c r="H47" i="11"/>
  <c r="H72" i="4"/>
  <c r="H49" i="11"/>
  <c r="H75" i="4"/>
  <c r="H29" i="11"/>
  <c r="G35" i="11"/>
  <c r="H24" i="11"/>
  <c r="I93" i="4"/>
  <c r="I98" i="4"/>
  <c r="I95" i="4"/>
  <c r="G74" i="4"/>
  <c r="G76" i="4" s="1"/>
  <c r="H94" i="4"/>
  <c r="H96" i="4" s="1"/>
  <c r="H99" i="4" s="1"/>
  <c r="H90" i="4"/>
  <c r="I86" i="4"/>
  <c r="I85" i="4"/>
  <c r="I88" i="4"/>
  <c r="I91" i="4"/>
  <c r="I89" i="4"/>
  <c r="I87" i="4"/>
  <c r="I82" i="4"/>
  <c r="I78" i="4"/>
  <c r="I36" i="11" s="1"/>
  <c r="I81" i="4"/>
  <c r="I84" i="4"/>
  <c r="I80" i="4"/>
  <c r="I37" i="11" s="1"/>
  <c r="I79" i="4"/>
  <c r="H83" i="4"/>
  <c r="I73" i="4"/>
  <c r="I77" i="4"/>
  <c r="I53" i="4"/>
  <c r="I15" i="4"/>
  <c r="I67" i="4"/>
  <c r="I62" i="4"/>
  <c r="I64" i="4"/>
  <c r="G33" i="4"/>
  <c r="G45" i="4" s="1"/>
  <c r="I16" i="4"/>
  <c r="J19" i="11"/>
  <c r="I20" i="4"/>
  <c r="I12" i="4"/>
  <c r="I34" i="11" s="1"/>
  <c r="H58" i="4"/>
  <c r="H60" i="4" s="1"/>
  <c r="H68" i="4" s="1"/>
  <c r="H55" i="4"/>
  <c r="H28" i="11" s="1"/>
  <c r="I57" i="4"/>
  <c r="I59" i="4"/>
  <c r="I56" i="4"/>
  <c r="I7" i="4"/>
  <c r="I20" i="11" s="1"/>
  <c r="I54" i="4"/>
  <c r="I38" i="4"/>
  <c r="I37" i="4"/>
  <c r="I49" i="4"/>
  <c r="I36" i="4"/>
  <c r="I40" i="4"/>
  <c r="I35" i="4"/>
  <c r="H43" i="4"/>
  <c r="H39" i="4"/>
  <c r="H24" i="4"/>
  <c r="H31" i="4"/>
  <c r="I30" i="4"/>
  <c r="I26" i="4"/>
  <c r="I29" i="4"/>
  <c r="I27" i="4"/>
  <c r="I25" i="4"/>
  <c r="I28" i="4"/>
  <c r="I14" i="4"/>
  <c r="I19" i="4"/>
  <c r="I17" i="4"/>
  <c r="I21" i="4"/>
  <c r="I18" i="4"/>
  <c r="H22" i="4"/>
  <c r="H13" i="4"/>
  <c r="H31" i="11" s="1"/>
  <c r="H66" i="11"/>
  <c r="H63" i="11"/>
  <c r="I65" i="11"/>
  <c r="J65" i="11" s="1"/>
  <c r="F48" i="11"/>
  <c r="H32" i="11" l="1"/>
  <c r="H51" i="11"/>
  <c r="H65" i="4"/>
  <c r="H54" i="11" s="1"/>
  <c r="H55" i="11" s="1"/>
  <c r="H63" i="4"/>
  <c r="I60" i="11"/>
  <c r="H45" i="11"/>
  <c r="H46" i="11" s="1"/>
  <c r="H26" i="11"/>
  <c r="I43" i="11"/>
  <c r="I44" i="11" s="1"/>
  <c r="I51" i="4"/>
  <c r="I52" i="4" s="1"/>
  <c r="I27" i="11" s="1"/>
  <c r="I33" i="11"/>
  <c r="I47" i="11"/>
  <c r="H30" i="11"/>
  <c r="I72" i="4"/>
  <c r="I49" i="11"/>
  <c r="I29" i="11"/>
  <c r="H74" i="4"/>
  <c r="H76" i="4" s="1"/>
  <c r="I75" i="4"/>
  <c r="H35" i="11"/>
  <c r="G38" i="11"/>
  <c r="I24" i="11"/>
  <c r="J98" i="4"/>
  <c r="J93" i="4"/>
  <c r="J95" i="4"/>
  <c r="I90" i="4"/>
  <c r="I94" i="4"/>
  <c r="I96" i="4" s="1"/>
  <c r="I99" i="4" s="1"/>
  <c r="J86" i="4"/>
  <c r="J85" i="4"/>
  <c r="J88" i="4"/>
  <c r="J91" i="4"/>
  <c r="J89" i="4"/>
  <c r="J87" i="4"/>
  <c r="I83" i="4"/>
  <c r="J82" i="4"/>
  <c r="J78" i="4"/>
  <c r="J36" i="11" s="1"/>
  <c r="J81" i="4"/>
  <c r="J80" i="4"/>
  <c r="J37" i="11" s="1"/>
  <c r="J79" i="4"/>
  <c r="J84" i="4"/>
  <c r="J73" i="4"/>
  <c r="J77" i="4"/>
  <c r="J53" i="4"/>
  <c r="J12" i="4"/>
  <c r="J34" i="11" s="1"/>
  <c r="J28" i="4"/>
  <c r="J26" i="4"/>
  <c r="J35" i="4"/>
  <c r="J29" i="4"/>
  <c r="J14" i="4"/>
  <c r="J17" i="4"/>
  <c r="J25" i="4"/>
  <c r="J49" i="4"/>
  <c r="J18" i="4"/>
  <c r="J21" i="4"/>
  <c r="J36" i="4"/>
  <c r="J7" i="4"/>
  <c r="J20" i="11" s="1"/>
  <c r="J19" i="4"/>
  <c r="J40" i="4"/>
  <c r="J43" i="4" s="1"/>
  <c r="J15" i="4"/>
  <c r="J20" i="4"/>
  <c r="J30" i="4"/>
  <c r="J16" i="4"/>
  <c r="J27" i="4"/>
  <c r="J38" i="4"/>
  <c r="J37" i="4"/>
  <c r="J64" i="4"/>
  <c r="J67" i="4"/>
  <c r="J62" i="4"/>
  <c r="I13" i="4"/>
  <c r="I31" i="11" s="1"/>
  <c r="I58" i="4"/>
  <c r="I60" i="4" s="1"/>
  <c r="I68" i="4" s="1"/>
  <c r="I55" i="4"/>
  <c r="I28" i="11" s="1"/>
  <c r="J54" i="4"/>
  <c r="J57" i="4"/>
  <c r="J59" i="4"/>
  <c r="J56" i="4"/>
  <c r="I43" i="4"/>
  <c r="I39" i="4"/>
  <c r="H33" i="4"/>
  <c r="H45" i="4" s="1"/>
  <c r="I24" i="4"/>
  <c r="I31" i="4"/>
  <c r="I22" i="4"/>
  <c r="J63" i="11"/>
  <c r="K65" i="11"/>
  <c r="L65" i="11" s="1"/>
  <c r="J66" i="11"/>
  <c r="I63" i="11"/>
  <c r="I66" i="11"/>
  <c r="J60" i="11" l="1"/>
  <c r="I65" i="4"/>
  <c r="I54" i="11" s="1"/>
  <c r="I55" i="11" s="1"/>
  <c r="I63" i="4"/>
  <c r="I45" i="11"/>
  <c r="I46" i="11" s="1"/>
  <c r="I26" i="11"/>
  <c r="J43" i="11"/>
  <c r="J51" i="4"/>
  <c r="J44" i="11"/>
  <c r="J29" i="11"/>
  <c r="I32" i="11"/>
  <c r="J33" i="11"/>
  <c r="J47" i="11"/>
  <c r="I74" i="4"/>
  <c r="I76" i="4" s="1"/>
  <c r="I30" i="11"/>
  <c r="I51" i="11"/>
  <c r="H39" i="11"/>
  <c r="H38" i="11"/>
  <c r="J94" i="4"/>
  <c r="J96" i="4" s="1"/>
  <c r="J99" i="4" s="1"/>
  <c r="J72" i="4"/>
  <c r="J49" i="11"/>
  <c r="J75" i="4"/>
  <c r="I35" i="11"/>
  <c r="J24" i="11"/>
  <c r="J25" i="11"/>
  <c r="K18" i="4"/>
  <c r="K19" i="11"/>
  <c r="L19" i="11"/>
  <c r="K38" i="4"/>
  <c r="K98" i="4"/>
  <c r="K93" i="4"/>
  <c r="K95" i="4"/>
  <c r="J90" i="4"/>
  <c r="K85" i="4"/>
  <c r="K88" i="4"/>
  <c r="K91" i="4"/>
  <c r="K89" i="4"/>
  <c r="K87" i="4"/>
  <c r="K86" i="4"/>
  <c r="J83" i="4"/>
  <c r="K27" i="4"/>
  <c r="K78" i="4"/>
  <c r="K36" i="11" s="1"/>
  <c r="K81" i="4"/>
  <c r="K80" i="4"/>
  <c r="K37" i="11" s="1"/>
  <c r="K82" i="4"/>
  <c r="K84" i="4"/>
  <c r="K79" i="4"/>
  <c r="K37" i="4"/>
  <c r="K35" i="4"/>
  <c r="K21" i="4"/>
  <c r="K77" i="4"/>
  <c r="K19" i="4"/>
  <c r="K28" i="4"/>
  <c r="J24" i="4"/>
  <c r="K62" i="4"/>
  <c r="K73" i="4"/>
  <c r="K30" i="4"/>
  <c r="K26" i="4"/>
  <c r="J31" i="4"/>
  <c r="J39" i="4"/>
  <c r="K20" i="4"/>
  <c r="K25" i="4"/>
  <c r="K36" i="4"/>
  <c r="K56" i="4"/>
  <c r="K17" i="4"/>
  <c r="K29" i="4"/>
  <c r="K49" i="4"/>
  <c r="K59" i="4"/>
  <c r="K7" i="4"/>
  <c r="K20" i="11" s="1"/>
  <c r="K14" i="4"/>
  <c r="K16" i="4"/>
  <c r="K40" i="4"/>
  <c r="K43" i="4" s="1"/>
  <c r="K57" i="4"/>
  <c r="K15" i="4"/>
  <c r="K12" i="4"/>
  <c r="K34" i="11" s="1"/>
  <c r="K54" i="4"/>
  <c r="K53" i="4"/>
  <c r="J13" i="4"/>
  <c r="J31" i="11" s="1"/>
  <c r="J22" i="4"/>
  <c r="K67" i="4"/>
  <c r="K64" i="4"/>
  <c r="L64" i="4"/>
  <c r="D13" i="11" s="1"/>
  <c r="J58" i="4"/>
  <c r="J60" i="4" s="1"/>
  <c r="J55" i="4"/>
  <c r="J28" i="11" s="1"/>
  <c r="I33" i="4"/>
  <c r="I45" i="4" s="1"/>
  <c r="K63" i="11"/>
  <c r="K66" i="11"/>
  <c r="L66" i="11"/>
  <c r="F96" i="4"/>
  <c r="F99" i="4" s="1"/>
  <c r="F58" i="4"/>
  <c r="F30" i="11" s="1"/>
  <c r="J48" i="11" l="1"/>
  <c r="J45" i="11"/>
  <c r="J46" i="11" s="1"/>
  <c r="J26" i="11"/>
  <c r="K60" i="11"/>
  <c r="J52" i="4"/>
  <c r="J27" i="11" s="1"/>
  <c r="J35" i="11"/>
  <c r="J65" i="4"/>
  <c r="J54" i="11" s="1"/>
  <c r="J55" i="11" s="1"/>
  <c r="J63" i="4"/>
  <c r="K43" i="11"/>
  <c r="K51" i="4"/>
  <c r="K52" i="4"/>
  <c r="K27" i="11" s="1"/>
  <c r="J68" i="4"/>
  <c r="J50" i="11"/>
  <c r="K44" i="11"/>
  <c r="K33" i="11"/>
  <c r="K29" i="11"/>
  <c r="L14" i="4"/>
  <c r="M14" i="4" s="1"/>
  <c r="L20" i="4"/>
  <c r="M20" i="4" s="1"/>
  <c r="N20" i="4" s="1"/>
  <c r="O20" i="4" s="1"/>
  <c r="P20" i="4" s="1"/>
  <c r="Q20" i="4" s="1"/>
  <c r="R20" i="4" s="1"/>
  <c r="S20" i="4" s="1"/>
  <c r="L29" i="4"/>
  <c r="M29" i="4" s="1"/>
  <c r="L87" i="4"/>
  <c r="J30" i="11"/>
  <c r="K47" i="11"/>
  <c r="K72" i="4"/>
  <c r="K49" i="11"/>
  <c r="I39" i="11"/>
  <c r="I38" i="11"/>
  <c r="F38" i="11"/>
  <c r="F39" i="11"/>
  <c r="K75" i="4"/>
  <c r="J74" i="4"/>
  <c r="J76" i="4" s="1"/>
  <c r="J51" i="11"/>
  <c r="L79" i="4"/>
  <c r="L19" i="4"/>
  <c r="M55" i="4" s="1"/>
  <c r="L84" i="4"/>
  <c r="L91" i="4"/>
  <c r="L15" i="4"/>
  <c r="M15" i="4" s="1"/>
  <c r="L16" i="4"/>
  <c r="L38" i="4"/>
  <c r="M38" i="4" s="1"/>
  <c r="L56" i="4"/>
  <c r="L82" i="4"/>
  <c r="L88" i="4"/>
  <c r="L30" i="4"/>
  <c r="M30" i="4" s="1"/>
  <c r="L37" i="4"/>
  <c r="M37" i="4" s="1"/>
  <c r="L59" i="4"/>
  <c r="K24" i="11"/>
  <c r="K25" i="11"/>
  <c r="L80" i="4"/>
  <c r="L37" i="11" s="1"/>
  <c r="L85" i="4"/>
  <c r="L35" i="4"/>
  <c r="M35" i="4" s="1"/>
  <c r="L57" i="4"/>
  <c r="L78" i="4"/>
  <c r="L36" i="11" s="1"/>
  <c r="L7" i="4"/>
  <c r="L20" i="11" s="1"/>
  <c r="L12" i="4"/>
  <c r="L27" i="4"/>
  <c r="L17" i="4"/>
  <c r="M17" i="4" s="1"/>
  <c r="L26" i="4"/>
  <c r="L24" i="4" s="1"/>
  <c r="L36" i="4"/>
  <c r="M36" i="4" s="1"/>
  <c r="L54" i="4"/>
  <c r="L53" i="4"/>
  <c r="L77" i="4"/>
  <c r="L81" i="4"/>
  <c r="L25" i="4"/>
  <c r="M25" i="4" s="1"/>
  <c r="L73" i="4"/>
  <c r="L86" i="4"/>
  <c r="L21" i="4"/>
  <c r="M21" i="4" s="1"/>
  <c r="N21" i="4" s="1"/>
  <c r="O21" i="4" s="1"/>
  <c r="P21" i="4" s="1"/>
  <c r="Q21" i="4" s="1"/>
  <c r="R21" i="4" s="1"/>
  <c r="S21" i="4" s="1"/>
  <c r="L40" i="4"/>
  <c r="L43" i="4" s="1"/>
  <c r="L62" i="4"/>
  <c r="L18" i="4"/>
  <c r="M18" i="4" s="1"/>
  <c r="N18" i="4" s="1"/>
  <c r="O18" i="4" s="1"/>
  <c r="P18" i="4" s="1"/>
  <c r="Q18" i="4" s="1"/>
  <c r="R18" i="4" s="1"/>
  <c r="S18" i="4" s="1"/>
  <c r="L28" i="4"/>
  <c r="L49" i="4"/>
  <c r="L67" i="4"/>
  <c r="L89" i="4"/>
  <c r="K90" i="4"/>
  <c r="K94" i="4"/>
  <c r="K96" i="4" s="1"/>
  <c r="K99" i="4" s="1"/>
  <c r="L93" i="4"/>
  <c r="L95" i="4"/>
  <c r="L98" i="4"/>
  <c r="K58" i="4"/>
  <c r="K30" i="11" s="1"/>
  <c r="K22" i="4"/>
  <c r="K31" i="4"/>
  <c r="K33" i="4" s="1"/>
  <c r="K45" i="4" s="1"/>
  <c r="K13" i="4"/>
  <c r="K31" i="11" s="1"/>
  <c r="K83" i="4"/>
  <c r="K24" i="4"/>
  <c r="K39" i="4"/>
  <c r="J33" i="4"/>
  <c r="J45" i="4" s="1"/>
  <c r="K55" i="4"/>
  <c r="K28" i="11" s="1"/>
  <c r="F60" i="4"/>
  <c r="F50" i="11"/>
  <c r="J32" i="11" l="1"/>
  <c r="K45" i="11"/>
  <c r="K46" i="11" s="1"/>
  <c r="K26" i="11"/>
  <c r="N26" i="11" s="1"/>
  <c r="O26" i="11" s="1"/>
  <c r="P26" i="11" s="1"/>
  <c r="Q26" i="11" s="1"/>
  <c r="R26" i="11" s="1"/>
  <c r="S26" i="11" s="1"/>
  <c r="F65" i="4"/>
  <c r="F63" i="4"/>
  <c r="F68" i="4"/>
  <c r="L43" i="11"/>
  <c r="L44" i="11" s="1"/>
  <c r="L51" i="4"/>
  <c r="M49" i="4"/>
  <c r="M50" i="4" s="1"/>
  <c r="L60" i="11"/>
  <c r="J52" i="11"/>
  <c r="L29" i="11"/>
  <c r="L22" i="4"/>
  <c r="L31" i="4"/>
  <c r="L33" i="4" s="1"/>
  <c r="L45" i="4" s="1"/>
  <c r="K32" i="11"/>
  <c r="K60" i="4"/>
  <c r="L33" i="11"/>
  <c r="N33" i="11" s="1"/>
  <c r="O33" i="11" s="1"/>
  <c r="P33" i="11" s="1"/>
  <c r="Q33" i="11" s="1"/>
  <c r="R33" i="11" s="1"/>
  <c r="S33" i="11" s="1"/>
  <c r="L13" i="4"/>
  <c r="L31" i="11" s="1"/>
  <c r="L34" i="11"/>
  <c r="L90" i="4"/>
  <c r="K39" i="11"/>
  <c r="K38" i="11"/>
  <c r="L47" i="11"/>
  <c r="K74" i="4"/>
  <c r="K76" i="4" s="1"/>
  <c r="L72" i="4"/>
  <c r="L49" i="11"/>
  <c r="L39" i="4"/>
  <c r="L94" i="4"/>
  <c r="F51" i="11"/>
  <c r="F35" i="11"/>
  <c r="L83" i="4"/>
  <c r="L75" i="4"/>
  <c r="J39" i="11"/>
  <c r="J38" i="11"/>
  <c r="L58" i="4"/>
  <c r="L60" i="4" s="1"/>
  <c r="L68" i="4" s="1"/>
  <c r="L55" i="4"/>
  <c r="L28" i="11" s="1"/>
  <c r="L96" i="4"/>
  <c r="M93" i="4" s="1"/>
  <c r="L24" i="11"/>
  <c r="L25" i="11"/>
  <c r="K65" i="4" l="1"/>
  <c r="K54" i="11" s="1"/>
  <c r="K55" i="11" s="1"/>
  <c r="K63" i="4"/>
  <c r="K68" i="4"/>
  <c r="L45" i="11"/>
  <c r="L46" i="11" s="1"/>
  <c r="L26" i="11"/>
  <c r="L99" i="4"/>
  <c r="L52" i="4"/>
  <c r="L65" i="4"/>
  <c r="L63" i="4"/>
  <c r="K35" i="11"/>
  <c r="K51" i="11"/>
  <c r="F54" i="11"/>
  <c r="F55" i="11" s="1"/>
  <c r="L51" i="11"/>
  <c r="L35" i="11"/>
  <c r="L30" i="11"/>
  <c r="L74" i="4"/>
  <c r="L76" i="4" s="1"/>
  <c r="F52" i="11"/>
  <c r="D15" i="11"/>
  <c r="L54" i="11" l="1"/>
  <c r="L55" i="11" s="1"/>
  <c r="L27" i="11"/>
  <c r="M27" i="11" s="1"/>
  <c r="N27" i="11" s="1"/>
  <c r="O27" i="11" s="1"/>
  <c r="P27" i="11" s="1"/>
  <c r="Q27" i="11" s="1"/>
  <c r="R27" i="11" s="1"/>
  <c r="S27" i="11" s="1"/>
  <c r="L32" i="11"/>
  <c r="M32" i="11" s="1"/>
  <c r="L38" i="11"/>
  <c r="L39" i="11"/>
  <c r="M52" i="4" l="1"/>
  <c r="B2" i="12"/>
  <c r="B2" i="6"/>
  <c r="D10" i="11"/>
  <c r="D65" i="11" s="1"/>
  <c r="B2" i="1"/>
  <c r="B2" i="11"/>
  <c r="E67" i="11" l="1"/>
  <c r="K67" i="11"/>
  <c r="L67" i="11" s="1"/>
  <c r="J67" i="11"/>
  <c r="H67" i="11"/>
  <c r="G67" i="11"/>
  <c r="F67" i="11"/>
  <c r="I67" i="11"/>
  <c r="E74" i="4" l="1"/>
  <c r="B2" i="4"/>
  <c r="D4" i="4"/>
  <c r="D21" i="1" l="1"/>
  <c r="N35" i="4" l="1"/>
  <c r="O35" i="4" s="1"/>
  <c r="P35" i="4" s="1"/>
  <c r="Q35" i="4" s="1"/>
  <c r="R35" i="4" s="1"/>
  <c r="S35" i="4" s="1"/>
  <c r="N36" i="4"/>
  <c r="O36" i="4" s="1"/>
  <c r="P36" i="4" s="1"/>
  <c r="Q36" i="4" s="1"/>
  <c r="R36" i="4" s="1"/>
  <c r="S36" i="4" s="1"/>
  <c r="N38" i="4"/>
  <c r="O38" i="4" s="1"/>
  <c r="P38" i="4" s="1"/>
  <c r="Q38" i="4" s="1"/>
  <c r="R38" i="4" s="1"/>
  <c r="S38" i="4" s="1"/>
  <c r="N37" i="4"/>
  <c r="O37" i="4" s="1"/>
  <c r="P37" i="4" s="1"/>
  <c r="Q37" i="4" s="1"/>
  <c r="R37" i="4" s="1"/>
  <c r="S37" i="4" s="1"/>
  <c r="N30" i="4"/>
  <c r="O30" i="4" s="1"/>
  <c r="P30" i="4" s="1"/>
  <c r="Q30" i="4" s="1"/>
  <c r="R30" i="4" s="1"/>
  <c r="S30" i="4" s="1"/>
  <c r="N25" i="4"/>
  <c r="O25" i="4" s="1"/>
  <c r="P25" i="4" s="1"/>
  <c r="Q25" i="4" s="1"/>
  <c r="R25" i="4" s="1"/>
  <c r="S25" i="4" s="1"/>
  <c r="N29" i="4"/>
  <c r="O29" i="4" s="1"/>
  <c r="P29" i="4" s="1"/>
  <c r="Q29" i="4" s="1"/>
  <c r="R29" i="4" s="1"/>
  <c r="S29" i="4" s="1"/>
  <c r="N17" i="4"/>
  <c r="O17" i="4" s="1"/>
  <c r="P17" i="4" s="1"/>
  <c r="Q17" i="4" s="1"/>
  <c r="R17" i="4" s="1"/>
  <c r="S17" i="4" s="1"/>
  <c r="M74" i="4"/>
  <c r="M19" i="11"/>
  <c r="N15" i="4"/>
  <c r="O15" i="4" s="1"/>
  <c r="P15" i="4" s="1"/>
  <c r="Q15" i="4" s="1"/>
  <c r="R15" i="4" s="1"/>
  <c r="S15" i="4" s="1"/>
  <c r="N14" i="4"/>
  <c r="O14" i="4" s="1"/>
  <c r="P14" i="4" s="1"/>
  <c r="Q14" i="4" s="1"/>
  <c r="R14" i="4" s="1"/>
  <c r="S14" i="4" s="1"/>
  <c r="E49" i="11"/>
  <c r="G48" i="11"/>
  <c r="E47" i="11"/>
  <c r="E48" i="11" s="1"/>
  <c r="E72" i="4"/>
  <c r="E76" i="4" s="1"/>
  <c r="D22" i="1"/>
  <c r="H48" i="11" l="1"/>
  <c r="N6" i="4"/>
  <c r="E50" i="11"/>
  <c r="E60" i="4"/>
  <c r="E35" i="11" l="1"/>
  <c r="E65" i="4"/>
  <c r="E54" i="11" s="1"/>
  <c r="E55" i="11" s="1"/>
  <c r="E63" i="4"/>
  <c r="E68" i="4"/>
  <c r="E7" i="6" s="1"/>
  <c r="N19" i="11"/>
  <c r="M51" i="4"/>
  <c r="M25" i="11"/>
  <c r="M28" i="4"/>
  <c r="N32" i="11"/>
  <c r="O32" i="11" s="1"/>
  <c r="P32" i="11" s="1"/>
  <c r="Q32" i="11" s="1"/>
  <c r="R32" i="11" s="1"/>
  <c r="S32" i="11" s="1"/>
  <c r="M43" i="11"/>
  <c r="M44" i="11" s="1"/>
  <c r="N49" i="4"/>
  <c r="M31" i="11"/>
  <c r="H50" i="11"/>
  <c r="I48" i="11"/>
  <c r="O6" i="4"/>
  <c r="O19" i="11" s="1"/>
  <c r="N7" i="4"/>
  <c r="N20" i="11" s="1"/>
  <c r="E51" i="11"/>
  <c r="G50" i="11"/>
  <c r="M88" i="4" l="1"/>
  <c r="M54" i="4"/>
  <c r="M56" i="4" s="1"/>
  <c r="M45" i="11"/>
  <c r="M46" i="11" s="1"/>
  <c r="M36" i="11"/>
  <c r="E52" i="11"/>
  <c r="N31" i="11"/>
  <c r="O31" i="11" s="1"/>
  <c r="P31" i="11" s="1"/>
  <c r="Q31" i="11" s="1"/>
  <c r="R31" i="11" s="1"/>
  <c r="S31" i="11" s="1"/>
  <c r="M13" i="4"/>
  <c r="N25" i="11"/>
  <c r="N50" i="4"/>
  <c r="N51" i="4" s="1"/>
  <c r="N52" i="4"/>
  <c r="N43" i="11"/>
  <c r="N44" i="11" s="1"/>
  <c r="N28" i="4"/>
  <c r="N88" i="4" s="1"/>
  <c r="O49" i="4"/>
  <c r="P6" i="4"/>
  <c r="O7" i="4"/>
  <c r="O20" i="11" s="1"/>
  <c r="P19" i="11" l="1"/>
  <c r="M47" i="11"/>
  <c r="M48" i="11" s="1"/>
  <c r="N45" i="11"/>
  <c r="N46" i="11" s="1"/>
  <c r="N54" i="4"/>
  <c r="N47" i="11" s="1"/>
  <c r="N48" i="11" s="1"/>
  <c r="O52" i="4"/>
  <c r="O25" i="11"/>
  <c r="O50" i="4"/>
  <c r="O51" i="4" s="1"/>
  <c r="O43" i="11"/>
  <c r="O44" i="11" s="1"/>
  <c r="O28" i="4"/>
  <c r="O88" i="4" s="1"/>
  <c r="P49" i="4"/>
  <c r="I50" i="11"/>
  <c r="Q6" i="4"/>
  <c r="Q19" i="11" s="1"/>
  <c r="P7" i="4"/>
  <c r="P20" i="11" s="1"/>
  <c r="G52" i="11"/>
  <c r="O54" i="4" l="1"/>
  <c r="O47" i="11" s="1"/>
  <c r="O48" i="11" s="1"/>
  <c r="O45" i="11"/>
  <c r="O46" i="11" s="1"/>
  <c r="P25" i="11"/>
  <c r="P50" i="4"/>
  <c r="P51" i="4" s="1"/>
  <c r="P52" i="4"/>
  <c r="P43" i="11"/>
  <c r="P44" i="11" s="1"/>
  <c r="P28" i="4"/>
  <c r="P88" i="4" s="1"/>
  <c r="Q49" i="4"/>
  <c r="H52" i="11"/>
  <c r="R6" i="4"/>
  <c r="Q7" i="4"/>
  <c r="Q20" i="11" s="1"/>
  <c r="R19" i="11" l="1"/>
  <c r="P45" i="11"/>
  <c r="P46" i="11" s="1"/>
  <c r="P54" i="4"/>
  <c r="P47" i="11" s="1"/>
  <c r="P48" i="11" s="1"/>
  <c r="Q52" i="4"/>
  <c r="Q25" i="11"/>
  <c r="Q50" i="4"/>
  <c r="Q51" i="4" s="1"/>
  <c r="Q43" i="11"/>
  <c r="Q44" i="11" s="1"/>
  <c r="Q28" i="4"/>
  <c r="Q88" i="4" s="1"/>
  <c r="R49" i="4"/>
  <c r="I52" i="11"/>
  <c r="S6" i="4"/>
  <c r="R7" i="4"/>
  <c r="R20" i="11" s="1"/>
  <c r="Q54" i="4" l="1"/>
  <c r="Q47" i="11" s="1"/>
  <c r="Q48" i="11" s="1"/>
  <c r="Q45" i="11"/>
  <c r="Q46" i="11" s="1"/>
  <c r="R25" i="11"/>
  <c r="R50" i="4"/>
  <c r="R51" i="4" s="1"/>
  <c r="R52" i="4"/>
  <c r="R43" i="11"/>
  <c r="R44" i="11" s="1"/>
  <c r="S19" i="11"/>
  <c r="S28" i="4"/>
  <c r="R28" i="4"/>
  <c r="R88" i="4" s="1"/>
  <c r="M78" i="4"/>
  <c r="M19" i="4" s="1"/>
  <c r="S49" i="4"/>
  <c r="S50" i="4" s="1"/>
  <c r="S7" i="4"/>
  <c r="S20" i="11" s="1"/>
  <c r="N13" i="4"/>
  <c r="H12" i="11" l="1"/>
  <c r="E61" i="11"/>
  <c r="H13" i="11"/>
  <c r="H14" i="11"/>
  <c r="F61" i="11"/>
  <c r="F57" i="11"/>
  <c r="G61" i="11"/>
  <c r="G57" i="11"/>
  <c r="H61" i="11"/>
  <c r="H57" i="11"/>
  <c r="I61" i="11"/>
  <c r="J61" i="11"/>
  <c r="I57" i="11"/>
  <c r="J57" i="11"/>
  <c r="K61" i="11"/>
  <c r="K57" i="11"/>
  <c r="L61" i="11"/>
  <c r="L57" i="11"/>
  <c r="E57" i="11"/>
  <c r="R54" i="4"/>
  <c r="R47" i="11" s="1"/>
  <c r="R48" i="11" s="1"/>
  <c r="R45" i="11"/>
  <c r="R46" i="11" s="1"/>
  <c r="S52" i="4"/>
  <c r="S88" i="4"/>
  <c r="S51" i="4"/>
  <c r="S25" i="11"/>
  <c r="I13" i="12"/>
  <c r="I18" i="12" s="1"/>
  <c r="I19" i="12" s="1"/>
  <c r="S43" i="11"/>
  <c r="M84" i="4"/>
  <c r="N55" i="4"/>
  <c r="N56" i="4" s="1"/>
  <c r="N36" i="11"/>
  <c r="J72" i="11"/>
  <c r="K69" i="11"/>
  <c r="G72" i="11"/>
  <c r="E72" i="11"/>
  <c r="F72" i="11"/>
  <c r="I72" i="11"/>
  <c r="H72" i="11"/>
  <c r="K72" i="11"/>
  <c r="O13" i="4"/>
  <c r="S36" i="11" l="1"/>
  <c r="S78" i="4" s="1"/>
  <c r="S44" i="11"/>
  <c r="S54" i="4"/>
  <c r="S47" i="11" s="1"/>
  <c r="S48" i="11" s="1"/>
  <c r="S45" i="11"/>
  <c r="S46" i="11" s="1"/>
  <c r="N78" i="4"/>
  <c r="O36" i="11"/>
  <c r="G69" i="11"/>
  <c r="F69" i="11"/>
  <c r="J69" i="11"/>
  <c r="E69" i="11"/>
  <c r="H69" i="11"/>
  <c r="I69" i="11"/>
  <c r="L69" i="11"/>
  <c r="P13" i="4"/>
  <c r="N84" i="4" l="1"/>
  <c r="N19" i="4"/>
  <c r="O78" i="4"/>
  <c r="O84" i="4" s="1"/>
  <c r="P36" i="11"/>
  <c r="Q13" i="4"/>
  <c r="P78" i="4" l="1"/>
  <c r="P84" i="4" s="1"/>
  <c r="Q36" i="11" l="1"/>
  <c r="R13" i="4"/>
  <c r="Q78" i="4" l="1"/>
  <c r="Q84" i="4" s="1"/>
  <c r="R36" i="11"/>
  <c r="S13" i="4"/>
  <c r="S84" i="4" l="1"/>
  <c r="R78" i="4"/>
  <c r="R84" i="4" s="1"/>
  <c r="E71" i="11" l="1"/>
  <c r="O55" i="4"/>
  <c r="O19" i="4" s="1"/>
  <c r="N74" i="4"/>
  <c r="E68" i="11" l="1"/>
  <c r="E70" i="11" s="1"/>
  <c r="F71" i="11"/>
  <c r="P55" i="4" l="1"/>
  <c r="P19" i="4" s="1"/>
  <c r="O74" i="4"/>
  <c r="G71" i="11" l="1"/>
  <c r="Q55" i="4"/>
  <c r="Q19" i="4" s="1"/>
  <c r="P74" i="4"/>
  <c r="H71" i="11" l="1"/>
  <c r="R55" i="4" l="1"/>
  <c r="R19" i="4" s="1"/>
  <c r="Q74" i="4"/>
  <c r="I71" i="11" l="1"/>
  <c r="S55" i="4"/>
  <c r="S19" i="4" s="1"/>
  <c r="R74" i="4"/>
  <c r="J71" i="11"/>
  <c r="S74" i="4" l="1"/>
  <c r="K71" i="11"/>
  <c r="M24" i="4" l="1"/>
  <c r="M49" i="11"/>
  <c r="M72" i="4"/>
  <c r="K48" i="11"/>
  <c r="K50" i="11"/>
  <c r="N24" i="4"/>
  <c r="N27" i="4" s="1"/>
  <c r="N31" i="4" s="1"/>
  <c r="O24" i="4"/>
  <c r="P24" i="4"/>
  <c r="P27" i="4" s="1"/>
  <c r="P31" i="4" s="1"/>
  <c r="Q24" i="4"/>
  <c r="Q27" i="4" s="1"/>
  <c r="Q31" i="4" s="1"/>
  <c r="R24" i="4"/>
  <c r="R27" i="4" s="1"/>
  <c r="R31" i="4" s="1"/>
  <c r="S24" i="4"/>
  <c r="S27" i="4" s="1"/>
  <c r="S31" i="4" s="1"/>
  <c r="F68" i="11"/>
  <c r="F70" i="11" s="1"/>
  <c r="O56" i="4"/>
  <c r="G68" i="11" s="1"/>
  <c r="G70" i="11" s="1"/>
  <c r="P56" i="4"/>
  <c r="H68" i="11" s="1"/>
  <c r="H70" i="11" s="1"/>
  <c r="Q56" i="4"/>
  <c r="R56" i="4"/>
  <c r="J68" i="11" s="1"/>
  <c r="J70" i="11" s="1"/>
  <c r="S56" i="4"/>
  <c r="K68" i="11" s="1"/>
  <c r="L48" i="11"/>
  <c r="M57" i="11" l="1"/>
  <c r="H9" i="11"/>
  <c r="M27" i="4"/>
  <c r="M31" i="4" s="1"/>
  <c r="M73" i="4"/>
  <c r="K70" i="11"/>
  <c r="L68" i="11"/>
  <c r="L71" i="11" s="1"/>
  <c r="M50" i="11"/>
  <c r="Q49" i="11"/>
  <c r="Q57" i="11" s="1"/>
  <c r="I68" i="11"/>
  <c r="I70" i="11" s="1"/>
  <c r="S73" i="4"/>
  <c r="K73" i="11" s="1"/>
  <c r="Q73" i="4"/>
  <c r="I73" i="11" s="1"/>
  <c r="P73" i="4"/>
  <c r="H73" i="11" s="1"/>
  <c r="H74" i="11" s="1"/>
  <c r="O73" i="4"/>
  <c r="G73" i="11" s="1"/>
  <c r="G74" i="11" s="1"/>
  <c r="O27" i="4"/>
  <c r="O31" i="4" s="1"/>
  <c r="S72" i="4"/>
  <c r="S49" i="11"/>
  <c r="S57" i="11" s="1"/>
  <c r="R72" i="4"/>
  <c r="R49" i="11"/>
  <c r="R57" i="11" s="1"/>
  <c r="P72" i="4"/>
  <c r="P49" i="11"/>
  <c r="P57" i="11" s="1"/>
  <c r="O72" i="4"/>
  <c r="O49" i="11"/>
  <c r="L50" i="11"/>
  <c r="N49" i="11"/>
  <c r="Q72" i="4"/>
  <c r="R73" i="4"/>
  <c r="J73" i="11" s="1"/>
  <c r="J74" i="11" s="1"/>
  <c r="E73" i="11"/>
  <c r="E74" i="11" s="1"/>
  <c r="N73" i="4"/>
  <c r="F73" i="11" s="1"/>
  <c r="F74" i="11" s="1"/>
  <c r="N72" i="4"/>
  <c r="K52" i="11"/>
  <c r="O57" i="11" l="1"/>
  <c r="H11" i="11"/>
  <c r="N57" i="11"/>
  <c r="H10" i="11"/>
  <c r="L72" i="11"/>
  <c r="P50" i="11"/>
  <c r="R50" i="11"/>
  <c r="I74" i="11"/>
  <c r="L73" i="11"/>
  <c r="L70" i="11"/>
  <c r="N50" i="11"/>
  <c r="S50" i="11"/>
  <c r="Q50" i="11"/>
  <c r="K74" i="11"/>
  <c r="O50" i="11"/>
  <c r="L74" i="11" l="1"/>
  <c r="L52" i="11" l="1"/>
  <c r="M57" i="4"/>
  <c r="M58" i="4" s="1"/>
  <c r="M59" i="4" s="1"/>
  <c r="M75" i="4" s="1"/>
  <c r="N29" i="11"/>
  <c r="N57" i="4" s="1"/>
  <c r="O29" i="11" l="1"/>
  <c r="O57" i="4" s="1"/>
  <c r="O58" i="4" s="1"/>
  <c r="M76" i="4"/>
  <c r="M77" i="4" s="1"/>
  <c r="N76" i="4"/>
  <c r="N58" i="4"/>
  <c r="P29" i="11"/>
  <c r="M60" i="4"/>
  <c r="I21" i="12"/>
  <c r="I22" i="12" s="1"/>
  <c r="I24" i="12" s="1"/>
  <c r="I25" i="12" s="1"/>
  <c r="D8" i="11" s="1"/>
  <c r="O76" i="4" l="1"/>
  <c r="M61" i="11"/>
  <c r="M60" i="11"/>
  <c r="N59" i="4"/>
  <c r="N75" i="4" s="1"/>
  <c r="N77" i="4" s="1"/>
  <c r="M51" i="11"/>
  <c r="M65" i="4"/>
  <c r="M54" i="11" s="1"/>
  <c r="M55" i="11" s="1"/>
  <c r="M63" i="4"/>
  <c r="M89" i="4"/>
  <c r="M91" i="4" s="1"/>
  <c r="M94" i="4" s="1"/>
  <c r="M96" i="4" s="1"/>
  <c r="K76" i="11"/>
  <c r="L75" i="11"/>
  <c r="L76" i="11" s="1"/>
  <c r="H76" i="11"/>
  <c r="E76" i="11"/>
  <c r="I76" i="11"/>
  <c r="F76" i="11"/>
  <c r="G76" i="11"/>
  <c r="J76" i="11"/>
  <c r="Q29" i="11"/>
  <c r="P57" i="4"/>
  <c r="O59" i="4"/>
  <c r="O75" i="4" s="1"/>
  <c r="O77" i="4" s="1"/>
  <c r="R29" i="11" l="1"/>
  <c r="Q57" i="4"/>
  <c r="M39" i="4"/>
  <c r="L9" i="11"/>
  <c r="H15" i="11"/>
  <c r="M52" i="11"/>
  <c r="O61" i="11"/>
  <c r="O60" i="11"/>
  <c r="N60" i="11"/>
  <c r="N61" i="11"/>
  <c r="N93" i="4"/>
  <c r="M12" i="4"/>
  <c r="O60" i="4"/>
  <c r="P58" i="4"/>
  <c r="P76" i="4"/>
  <c r="N60" i="4"/>
  <c r="I58" i="11" l="1"/>
  <c r="Q58" i="11"/>
  <c r="J58" i="11"/>
  <c r="R58" i="11"/>
  <c r="F58" i="11"/>
  <c r="L14" i="11"/>
  <c r="L16" i="11" s="1"/>
  <c r="K58" i="11"/>
  <c r="S58" i="11"/>
  <c r="N58" i="11"/>
  <c r="L58" i="11"/>
  <c r="O58" i="11"/>
  <c r="E58" i="11"/>
  <c r="M58" i="11"/>
  <c r="H58" i="11"/>
  <c r="P58" i="11"/>
  <c r="G58" i="11"/>
  <c r="O89" i="4"/>
  <c r="O91" i="4" s="1"/>
  <c r="O94" i="4" s="1"/>
  <c r="O51" i="11"/>
  <c r="O65" i="4"/>
  <c r="O54" i="11" s="1"/>
  <c r="O55" i="11" s="1"/>
  <c r="O63" i="4"/>
  <c r="P59" i="4"/>
  <c r="P75" i="4" s="1"/>
  <c r="P77" i="4" s="1"/>
  <c r="P60" i="4"/>
  <c r="Q58" i="4"/>
  <c r="Q76" i="4"/>
  <c r="M98" i="4"/>
  <c r="M99" i="4" s="1"/>
  <c r="M39" i="11"/>
  <c r="M34" i="11"/>
  <c r="M16" i="4"/>
  <c r="M22" i="4" s="1"/>
  <c r="M33" i="4" s="1"/>
  <c r="M40" i="4"/>
  <c r="M43" i="4" s="1"/>
  <c r="N51" i="11"/>
  <c r="N65" i="4"/>
  <c r="N54" i="11" s="1"/>
  <c r="N55" i="11" s="1"/>
  <c r="N63" i="4"/>
  <c r="N89" i="4"/>
  <c r="N91" i="4" s="1"/>
  <c r="N94" i="4" s="1"/>
  <c r="N96" i="4" s="1"/>
  <c r="S29" i="11"/>
  <c r="S57" i="4" s="1"/>
  <c r="R57" i="4"/>
  <c r="M45" i="4" l="1"/>
  <c r="N12" i="4"/>
  <c r="O93" i="4"/>
  <c r="O96" i="4" s="1"/>
  <c r="R58" i="4"/>
  <c r="R76" i="4"/>
  <c r="Q59" i="4"/>
  <c r="Q75" i="4" s="1"/>
  <c r="Q77" i="4" s="1"/>
  <c r="M38" i="11"/>
  <c r="D16" i="11"/>
  <c r="D17" i="11" s="1"/>
  <c r="P10" i="11"/>
  <c r="P11" i="11"/>
  <c r="P12" i="11"/>
  <c r="S76" i="4"/>
  <c r="S58" i="4"/>
  <c r="P65" i="4"/>
  <c r="P54" i="11" s="1"/>
  <c r="P55" i="11" s="1"/>
  <c r="P89" i="4"/>
  <c r="P91" i="4" s="1"/>
  <c r="P94" i="4" s="1"/>
  <c r="P51" i="11"/>
  <c r="P52" i="11" s="1"/>
  <c r="P63" i="4"/>
  <c r="P61" i="11"/>
  <c r="P60" i="11"/>
  <c r="O52" i="11"/>
  <c r="H17" i="11"/>
  <c r="N52" i="11"/>
  <c r="H16" i="11"/>
  <c r="N39" i="4"/>
  <c r="Q60" i="4" l="1"/>
  <c r="Q61" i="11"/>
  <c r="Q60" i="11"/>
  <c r="Q89" i="4"/>
  <c r="Q91" i="4" s="1"/>
  <c r="Q94" i="4" s="1"/>
  <c r="Q51" i="11"/>
  <c r="Q52" i="11" s="1"/>
  <c r="Q63" i="4"/>
  <c r="Q65" i="4"/>
  <c r="Q54" i="11" s="1"/>
  <c r="Q55" i="11" s="1"/>
  <c r="R59" i="4"/>
  <c r="R75" i="4" s="1"/>
  <c r="R77" i="4" s="1"/>
  <c r="O12" i="4"/>
  <c r="P93" i="4"/>
  <c r="P96" i="4" s="1"/>
  <c r="O39" i="4"/>
  <c r="N40" i="4"/>
  <c r="N43" i="4" s="1"/>
  <c r="S59" i="4"/>
  <c r="S75" i="4" s="1"/>
  <c r="S77" i="4" s="1"/>
  <c r="N98" i="4"/>
  <c r="N99" i="4" s="1"/>
  <c r="N39" i="11"/>
  <c r="N34" i="11"/>
  <c r="N16" i="4"/>
  <c r="N22" i="4" s="1"/>
  <c r="N33" i="4" s="1"/>
  <c r="S60" i="11" l="1"/>
  <c r="S61" i="11"/>
  <c r="R60" i="11"/>
  <c r="R61" i="11"/>
  <c r="S60" i="4"/>
  <c r="P39" i="4"/>
  <c r="O40" i="4"/>
  <c r="O43" i="4" s="1"/>
  <c r="P12" i="4"/>
  <c r="Q93" i="4"/>
  <c r="Q96" i="4" s="1"/>
  <c r="R60" i="4"/>
  <c r="N45" i="4"/>
  <c r="N38" i="11"/>
  <c r="O16" i="4"/>
  <c r="O22" i="4" s="1"/>
  <c r="O33" i="4" s="1"/>
  <c r="O34" i="11"/>
  <c r="O98" i="4"/>
  <c r="O99" i="4" s="1"/>
  <c r="O39" i="11"/>
  <c r="O45" i="4" l="1"/>
  <c r="P40" i="4"/>
  <c r="P43" i="4" s="1"/>
  <c r="Q39" i="4"/>
  <c r="S65" i="4"/>
  <c r="S54" i="11" s="1"/>
  <c r="S55" i="11" s="1"/>
  <c r="S63" i="4"/>
  <c r="S51" i="11"/>
  <c r="S52" i="11" s="1"/>
  <c r="S89" i="4"/>
  <c r="S91" i="4" s="1"/>
  <c r="S94" i="4" s="1"/>
  <c r="R63" i="4"/>
  <c r="R51" i="11"/>
  <c r="R52" i="11" s="1"/>
  <c r="R89" i="4"/>
  <c r="R91" i="4" s="1"/>
  <c r="R94" i="4" s="1"/>
  <c r="R65" i="4"/>
  <c r="R54" i="11" s="1"/>
  <c r="R55" i="11" s="1"/>
  <c r="R93" i="4"/>
  <c r="Q12" i="4"/>
  <c r="O38" i="11"/>
  <c r="P34" i="11"/>
  <c r="P16" i="4"/>
  <c r="P22" i="4" s="1"/>
  <c r="P33" i="4" s="1"/>
  <c r="P45" i="4" s="1"/>
  <c r="P98" i="4"/>
  <c r="P99" i="4" s="1"/>
  <c r="P39" i="11"/>
  <c r="R96" i="4" l="1"/>
  <c r="S93" i="4"/>
  <c r="S96" i="4" s="1"/>
  <c r="S12" i="4" s="1"/>
  <c r="R12" i="4"/>
  <c r="Q16" i="4"/>
  <c r="Q22" i="4" s="1"/>
  <c r="Q33" i="4" s="1"/>
  <c r="Q98" i="4"/>
  <c r="Q99" i="4" s="1"/>
  <c r="E8" i="6" s="1"/>
  <c r="Q39" i="11"/>
  <c r="Q34" i="11"/>
  <c r="R39" i="4"/>
  <c r="Q40" i="4"/>
  <c r="Q43" i="4" s="1"/>
  <c r="P38" i="11"/>
  <c r="Q45" i="4" l="1"/>
  <c r="E6" i="6" s="1"/>
  <c r="E10" i="6" s="1"/>
  <c r="B3" i="6" s="1"/>
  <c r="Q38" i="11"/>
  <c r="R34" i="11"/>
  <c r="R16" i="4"/>
  <c r="R22" i="4" s="1"/>
  <c r="R33" i="4" s="1"/>
  <c r="R98" i="4"/>
  <c r="R99" i="4" s="1"/>
  <c r="R39" i="11"/>
  <c r="S34" i="11"/>
  <c r="S16" i="4"/>
  <c r="S22" i="4" s="1"/>
  <c r="S33" i="4" s="1"/>
  <c r="S98" i="4"/>
  <c r="S99" i="4" s="1"/>
  <c r="S39" i="11"/>
  <c r="S39" i="4"/>
  <c r="S40" i="4" s="1"/>
  <c r="S43" i="4" s="1"/>
  <c r="R40" i="4"/>
  <c r="R43" i="4" s="1"/>
  <c r="B3" i="1" l="1"/>
  <c r="B3" i="12"/>
  <c r="B3" i="4"/>
  <c r="B3" i="11"/>
  <c r="R45" i="4"/>
  <c r="S45" i="4"/>
  <c r="S38" i="11"/>
  <c r="R3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Moss</author>
  </authors>
  <commentList>
    <comment ref="E10" authorId="0" shapeId="0" xr:uid="{B50D12CF-7423-46FB-9FE4-A79E00D8E050}">
      <text>
        <r>
          <rPr>
            <sz val="9"/>
            <color indexed="81"/>
            <rFont val="Tahoma"/>
            <family val="2"/>
          </rPr>
          <t>https://www.marketwatch.com/investing/bond/tmbmkgb-20y?countrycode=bx</t>
        </r>
      </text>
    </comment>
    <comment ref="E11" authorId="0" shapeId="0" xr:uid="{0A4396EC-507E-4B26-A622-2DAEFE5A32FE}">
      <text>
        <r>
          <rPr>
            <sz val="9"/>
            <color indexed="81"/>
            <rFont val="Tahoma"/>
            <family val="2"/>
          </rPr>
          <t>https://pages.stern.nyu.edu/~adamodar/New_Home_Page/datafile/ctryprem.html</t>
        </r>
      </text>
    </comment>
    <comment ref="E16" authorId="0" shapeId="0" xr:uid="{6DE54F95-3D7C-4997-AA5D-DEBA6D36ACAB}">
      <text>
        <r>
          <rPr>
            <sz val="9"/>
            <color indexed="81"/>
            <rFont val="Tahoma"/>
            <family val="2"/>
          </rPr>
          <t>https://pages.stern.nyu.edu/~adamodar/New_Home_Page/datafile/Betas.html</t>
        </r>
      </text>
    </comment>
    <comment ref="E17" authorId="0" shapeId="0" xr:uid="{DD8E3227-1687-456B-B4E4-B05D8AF036CD}">
      <text>
        <r>
          <rPr>
            <b/>
            <sz val="9"/>
            <color indexed="81"/>
            <rFont val="Tahoma"/>
            <family val="2"/>
          </rPr>
          <t>https://aswathdamodaran.blogspot.com/2015/04/the-small-cap-premium-fact-fiction-and.html</t>
        </r>
      </text>
    </comment>
  </commentList>
</comments>
</file>

<file path=xl/sharedStrings.xml><?xml version="1.0" encoding="utf-8"?>
<sst xmlns="http://schemas.openxmlformats.org/spreadsheetml/2006/main" count="467" uniqueCount="315">
  <si>
    <t>Company name</t>
  </si>
  <si>
    <t>Ticker</t>
  </si>
  <si>
    <t>MODEL STRUCTURE</t>
  </si>
  <si>
    <t>Currency</t>
  </si>
  <si>
    <t>Company information</t>
  </si>
  <si>
    <t>Calendar</t>
  </si>
  <si>
    <t>Model date</t>
  </si>
  <si>
    <t>Q1 trading update</t>
  </si>
  <si>
    <t>Q3 trading update</t>
  </si>
  <si>
    <t>Full year results</t>
  </si>
  <si>
    <t>Half year results</t>
  </si>
  <si>
    <t>Reporting</t>
  </si>
  <si>
    <t>date</t>
  </si>
  <si>
    <t>Results</t>
  </si>
  <si>
    <t>FINANCIALS</t>
  </si>
  <si>
    <t>Date</t>
  </si>
  <si>
    <t>Trade &amp; other receivables</t>
  </si>
  <si>
    <t>Total assets</t>
  </si>
  <si>
    <t>Total liabilities</t>
  </si>
  <si>
    <t>Trade &amp; other payables</t>
  </si>
  <si>
    <t>Net assets</t>
  </si>
  <si>
    <t>Retained earnings</t>
  </si>
  <si>
    <t>Non-controlling interest</t>
  </si>
  <si>
    <t>Total equity</t>
  </si>
  <si>
    <t>Check</t>
  </si>
  <si>
    <t>CHECKS</t>
  </si>
  <si>
    <t>Financials - BS</t>
  </si>
  <si>
    <t>Financials - PnL</t>
  </si>
  <si>
    <t>Financials - CF</t>
  </si>
  <si>
    <t>Last HY results available</t>
  </si>
  <si>
    <t>P&amp;L</t>
  </si>
  <si>
    <t>BALANCE SHEET</t>
  </si>
  <si>
    <t>Revenue</t>
  </si>
  <si>
    <t>Cost of sales</t>
  </si>
  <si>
    <t>Gross profit</t>
  </si>
  <si>
    <t>Admin expenses exc. D&amp;A</t>
  </si>
  <si>
    <t>EBITDA</t>
  </si>
  <si>
    <t>Depreciation &amp; Amortisation</t>
  </si>
  <si>
    <t>EBIT</t>
  </si>
  <si>
    <t>Profit before tax</t>
  </si>
  <si>
    <t>Tax</t>
  </si>
  <si>
    <t>Profit for the period</t>
  </si>
  <si>
    <t>Expected value</t>
  </si>
  <si>
    <t>Months in period</t>
  </si>
  <si>
    <t>Interest expense</t>
  </si>
  <si>
    <t>CASHFLOW</t>
  </si>
  <si>
    <t>Other</t>
  </si>
  <si>
    <t>Operating profit</t>
  </si>
  <si>
    <t>Depreciation &amp; amortisation</t>
  </si>
  <si>
    <t>Tax paid</t>
  </si>
  <si>
    <t>Acquisitions</t>
  </si>
  <si>
    <t>Interest paid</t>
  </si>
  <si>
    <t>Share buyback</t>
  </si>
  <si>
    <t>Revenue growth YoY %</t>
  </si>
  <si>
    <t>Effective tax rate %</t>
  </si>
  <si>
    <t>Receivables days</t>
  </si>
  <si>
    <t>Payables days</t>
  </si>
  <si>
    <t>Dividend payout ratio %</t>
  </si>
  <si>
    <t>CAPEX spend</t>
  </si>
  <si>
    <t>WACC</t>
  </si>
  <si>
    <t>Unlevered Beta</t>
  </si>
  <si>
    <t>D/E Ratio</t>
  </si>
  <si>
    <t>Tax Rate</t>
  </si>
  <si>
    <t>Levered Beta</t>
  </si>
  <si>
    <t>Rf</t>
  </si>
  <si>
    <t>ERP</t>
  </si>
  <si>
    <t>Small Cap Premum</t>
  </si>
  <si>
    <t>Ke</t>
  </si>
  <si>
    <t>Selected Ke</t>
  </si>
  <si>
    <t>Kd</t>
  </si>
  <si>
    <t>Post-tax Kd</t>
  </si>
  <si>
    <t>Selected WACC</t>
  </si>
  <si>
    <t>Risk free rate</t>
  </si>
  <si>
    <t>Equity risk premium</t>
  </si>
  <si>
    <t>Cost of debt</t>
  </si>
  <si>
    <t>Discount Rate</t>
  </si>
  <si>
    <t>Perpetural Growth Rate</t>
  </si>
  <si>
    <t>Valuation Date</t>
  </si>
  <si>
    <t>Shares Outstanding</t>
  </si>
  <si>
    <t>Entry</t>
  </si>
  <si>
    <t>Terminal</t>
  </si>
  <si>
    <t>Year Fraction</t>
  </si>
  <si>
    <t>Less: Cash Taxes</t>
  </si>
  <si>
    <t>Plus: D&amp;A</t>
  </si>
  <si>
    <t>Less: Capex</t>
  </si>
  <si>
    <t>Less: Changes in NWC</t>
  </si>
  <si>
    <t>Market Value vs Intrinsic Value</t>
  </si>
  <si>
    <t>Unlevered FCF</t>
  </si>
  <si>
    <t>Market Value</t>
  </si>
  <si>
    <t>Intrinsic Value</t>
  </si>
  <si>
    <t>Enterprise Value</t>
  </si>
  <si>
    <t>Less: net debt</t>
  </si>
  <si>
    <t>Equity Value</t>
  </si>
  <si>
    <t>Equity Value/Share</t>
  </si>
  <si>
    <t>Inputs</t>
  </si>
  <si>
    <t>Tax rate for WACC</t>
  </si>
  <si>
    <t>Unlevered beta - low</t>
  </si>
  <si>
    <t>Small cap premium</t>
  </si>
  <si>
    <t>Balance sheet date</t>
  </si>
  <si>
    <t>Terminal value</t>
  </si>
  <si>
    <t>Discounted cashflow</t>
  </si>
  <si>
    <t>Upside (p)</t>
  </si>
  <si>
    <t>Upside %</t>
  </si>
  <si>
    <t>30% margin of safety point</t>
  </si>
  <si>
    <t>Valuation date</t>
  </si>
  <si>
    <t>Perpetual bonds</t>
  </si>
  <si>
    <t>BS ROIC %</t>
  </si>
  <si>
    <t>Mcap ROIC %</t>
  </si>
  <si>
    <t>Add: non-operating assets</t>
  </si>
  <si>
    <t>Less: non-operating liabilities</t>
  </si>
  <si>
    <t>Time period fraction</t>
  </si>
  <si>
    <t>Other adj. to equity value</t>
  </si>
  <si>
    <t>Current Price (p)</t>
  </si>
  <si>
    <t>SUMMARY</t>
  </si>
  <si>
    <t>DISCOUNT RATE</t>
  </si>
  <si>
    <t>Net profit margin %</t>
  </si>
  <si>
    <t>EBITDA margin %</t>
  </si>
  <si>
    <t>Price to earnings ratio</t>
  </si>
  <si>
    <t>EBIT margin %</t>
  </si>
  <si>
    <t>EV to EBIT ratio - actual</t>
  </si>
  <si>
    <t>EV to EBIT ratio - implied by valuation</t>
  </si>
  <si>
    <t>Margin of safety</t>
  </si>
  <si>
    <t>Current share price</t>
  </si>
  <si>
    <t>Tax rate</t>
  </si>
  <si>
    <t>DCF equity value per share</t>
  </si>
  <si>
    <t>Multiples</t>
  </si>
  <si>
    <t>EV/EBITDA (Current)</t>
  </si>
  <si>
    <t>EV/EBITDA (Y+2)</t>
  </si>
  <si>
    <t>EV/EBITDA (Y+1)</t>
  </si>
  <si>
    <t>EV/EBIT (Y+2)</t>
  </si>
  <si>
    <t>EV/EBIT (Y+1)</t>
  </si>
  <si>
    <t>EV/EBIT (Current)</t>
  </si>
  <si>
    <t>P/E (Current)</t>
  </si>
  <si>
    <t>P/E (Y+1)</t>
  </si>
  <si>
    <t>P/E (Y+2)</t>
  </si>
  <si>
    <t>QUANT VALUE INVESTING</t>
  </si>
  <si>
    <t>METRICS</t>
  </si>
  <si>
    <t>SUMMARY FINANCIALS</t>
  </si>
  <si>
    <t>Year</t>
  </si>
  <si>
    <t>Turnover</t>
  </si>
  <si>
    <t>Pre-tax profit</t>
  </si>
  <si>
    <t>-</t>
  </si>
  <si>
    <t>Post-tax profit</t>
  </si>
  <si>
    <t>Capex</t>
  </si>
  <si>
    <t>Free cash flow</t>
  </si>
  <si>
    <t>Net borrowing</t>
  </si>
  <si>
    <t>NAV</t>
  </si>
  <si>
    <t>Like for like sales growth %</t>
  </si>
  <si>
    <t>Period Ending</t>
  </si>
  <si>
    <t>Result Type</t>
  </si>
  <si>
    <t xml:space="preserve"> </t>
  </si>
  <si>
    <t>CASH FLOWS</t>
  </si>
  <si>
    <t>Net profit</t>
  </si>
  <si>
    <t>Deferred tax</t>
  </si>
  <si>
    <t>Share of associates &amp; JVs</t>
  </si>
  <si>
    <t>Change in stock</t>
  </si>
  <si>
    <t>Change in debtors</t>
  </si>
  <si>
    <t>Change in creditors</t>
  </si>
  <si>
    <t>Other changes</t>
  </si>
  <si>
    <t>Change in working capital</t>
  </si>
  <si>
    <t>Other (operating)</t>
  </si>
  <si>
    <t>Operating cash flow</t>
  </si>
  <si>
    <t>Net cash from operations</t>
  </si>
  <si>
    <t>Capital expenditure</t>
  </si>
  <si>
    <t>Sale of fixed assets</t>
  </si>
  <si>
    <t>Sale of businesses</t>
  </si>
  <si>
    <t>Purchase of investment property</t>
  </si>
  <si>
    <t>Sale of investment property</t>
  </si>
  <si>
    <t>Purchase of investment</t>
  </si>
  <si>
    <t>Sale of investment</t>
  </si>
  <si>
    <t>Other (investing)</t>
  </si>
  <si>
    <t>Net cash from investing</t>
  </si>
  <si>
    <t>New share issues</t>
  </si>
  <si>
    <t>New borrowing</t>
  </si>
  <si>
    <t>Repayment of borrowing</t>
  </si>
  <si>
    <t>Equity dividends paid</t>
  </si>
  <si>
    <t>Preferred dividends paid</t>
  </si>
  <si>
    <t>Dividends paid in cash</t>
  </si>
  <si>
    <t>Other (financing)</t>
  </si>
  <si>
    <t>Net cash from financing</t>
  </si>
  <si>
    <t>Net change in cash</t>
  </si>
  <si>
    <t>CASH BALANCE</t>
  </si>
  <si>
    <t>Opening balance</t>
  </si>
  <si>
    <t>Foreign exchange adjustments</t>
  </si>
  <si>
    <t>Closing balance</t>
  </si>
  <si>
    <t>FREE CASH FLOW</t>
  </si>
  <si>
    <t>Dividends from joint ventures</t>
  </si>
  <si>
    <t>Repayment of leases</t>
  </si>
  <si>
    <t>Other in/out flows of cash</t>
  </si>
  <si>
    <t>Free cash flow for firm (FCFf)</t>
  </si>
  <si>
    <t>Dividends paid to minorities</t>
  </si>
  <si>
    <t>Interest received</t>
  </si>
  <si>
    <t>Free cash flow (FCF)</t>
  </si>
  <si>
    <t>PER SHARE VALUES</t>
  </si>
  <si>
    <t>Operating cash flow ps (p)</t>
  </si>
  <si>
    <t>FCF ps (p)</t>
  </si>
  <si>
    <t>FCFf ps (p)</t>
  </si>
  <si>
    <t>Capex ps (p)</t>
  </si>
  <si>
    <t>ASSETS</t>
  </si>
  <si>
    <t>Debtors trade</t>
  </si>
  <si>
    <t>Debtors other</t>
  </si>
  <si>
    <t>Prepayments</t>
  </si>
  <si>
    <t>Debtors</t>
  </si>
  <si>
    <t>Debtors finance &amp; lease</t>
  </si>
  <si>
    <t>Tax assets</t>
  </si>
  <si>
    <t>Stock &amp; WIP</t>
  </si>
  <si>
    <t>Securities</t>
  </si>
  <si>
    <t>Cash &amp; equivalents</t>
  </si>
  <si>
    <t>Other current assets</t>
  </si>
  <si>
    <t>Current assets</t>
  </si>
  <si>
    <t>Goodwill</t>
  </si>
  <si>
    <t>Other intangibles</t>
  </si>
  <si>
    <t>Intangibles</t>
  </si>
  <si>
    <t>Tangibles</t>
  </si>
  <si>
    <t>Investments</t>
  </si>
  <si>
    <t>Other non-current assets</t>
  </si>
  <si>
    <t>Non-current assets</t>
  </si>
  <si>
    <t>LIABILITIES</t>
  </si>
  <si>
    <t>Short term borrowing</t>
  </si>
  <si>
    <t>Trade creditors</t>
  </si>
  <si>
    <t>Other current liabilities</t>
  </si>
  <si>
    <t>Current liabilities</t>
  </si>
  <si>
    <t>Long term borrowing</t>
  </si>
  <si>
    <t>Other provisions</t>
  </si>
  <si>
    <t>Pension liabilities</t>
  </si>
  <si>
    <t>Other non-current liabilities</t>
  </si>
  <si>
    <t>Non-current liabilities</t>
  </si>
  <si>
    <t>EQUITY</t>
  </si>
  <si>
    <t>Ordinary shares</t>
  </si>
  <si>
    <t>Preference shares</t>
  </si>
  <si>
    <t>Share capital</t>
  </si>
  <si>
    <t>Share premium</t>
  </si>
  <si>
    <t>Treasury shares</t>
  </si>
  <si>
    <t>Total retained profit</t>
  </si>
  <si>
    <t>Other reserves</t>
  </si>
  <si>
    <t>Shareholders funds (NAV)</t>
  </si>
  <si>
    <t>Minorities</t>
  </si>
  <si>
    <t>Total liabilities + equity</t>
  </si>
  <si>
    <t>BORROWING</t>
  </si>
  <si>
    <t>Long-term leases</t>
  </si>
  <si>
    <t>Long-term borrowing</t>
  </si>
  <si>
    <t>Current leases</t>
  </si>
  <si>
    <t>Current borrowing</t>
  </si>
  <si>
    <t>Total borrowing</t>
  </si>
  <si>
    <t>OTHER DETAILS</t>
  </si>
  <si>
    <t>NTAV</t>
  </si>
  <si>
    <t>NAV ps (p)</t>
  </si>
  <si>
    <t>NTAV ps (p)</t>
  </si>
  <si>
    <t>Preference consideration</t>
  </si>
  <si>
    <t>Working capital</t>
  </si>
  <si>
    <t>Pension deficit</t>
  </si>
  <si>
    <t>CONTINUOUS OPERATIONS</t>
  </si>
  <si>
    <t>Administrative expenses</t>
  </si>
  <si>
    <t>Operating profit (standardised)</t>
  </si>
  <si>
    <t>Interest paid (net)</t>
  </si>
  <si>
    <t>Other income/expense</t>
  </si>
  <si>
    <t>Taxation</t>
  </si>
  <si>
    <t>Extraordinary items</t>
  </si>
  <si>
    <t>Discontinued operations</t>
  </si>
  <si>
    <t>Profit for financial year</t>
  </si>
  <si>
    <t>EARNINGS BEFORE INTEREST &amp; TAX</t>
  </si>
  <si>
    <t>DISCONTINUED OPERATIONS</t>
  </si>
  <si>
    <t>Discontinued post-tax profit</t>
  </si>
  <si>
    <t>Dividend (announced) ps (p)</t>
  </si>
  <si>
    <t>Dividend (adjusted) ps (p)</t>
  </si>
  <si>
    <t>EPS rep. continuous (p)</t>
  </si>
  <si>
    <t>EPS rep. discontinued (p)</t>
  </si>
  <si>
    <t>EPS reported (p)</t>
  </si>
  <si>
    <t>EPS norm. continuous (p)</t>
  </si>
  <si>
    <t>NORMALISED</t>
  </si>
  <si>
    <t>COMPANY ADJUSTED</t>
  </si>
  <si>
    <t>EPS (basic) (p)</t>
  </si>
  <si>
    <t>EPS (diluted) (p)</t>
  </si>
  <si>
    <t>Number of shares</t>
  </si>
  <si>
    <t>Average shares (adjusted)</t>
  </si>
  <si>
    <t>Average shares (diluted)</t>
  </si>
  <si>
    <t>Research &amp; development</t>
  </si>
  <si>
    <t>Rental &amp; lease expense</t>
  </si>
  <si>
    <t>Stock based compensation</t>
  </si>
  <si>
    <t>Number of employees</t>
  </si>
  <si>
    <t>Tax rate %</t>
  </si>
  <si>
    <t>Market capitalisation</t>
  </si>
  <si>
    <t>Enterprise value</t>
  </si>
  <si>
    <t>Revenue growth 5yr CAGR</t>
  </si>
  <si>
    <t>Interest expense (as % avg. borrowings)</t>
  </si>
  <si>
    <t>Total borrowings</t>
  </si>
  <si>
    <t>Cash</t>
  </si>
  <si>
    <t>Diluted EPS ($)</t>
  </si>
  <si>
    <t>Q4 IFRS</t>
  </si>
  <si>
    <t>Profit on disposals</t>
  </si>
  <si>
    <t>Interest paid CFO</t>
  </si>
  <si>
    <t>Interest received CFO</t>
  </si>
  <si>
    <t>Dividend paid CFO</t>
  </si>
  <si>
    <t>Dividend received CFO</t>
  </si>
  <si>
    <t>New leases</t>
  </si>
  <si>
    <t>Associates &amp; joint ventures</t>
  </si>
  <si>
    <t>Accruals</t>
  </si>
  <si>
    <t>Infinity</t>
  </si>
  <si>
    <t>EPS (p)</t>
  </si>
  <si>
    <t>Dividend (p)</t>
  </si>
  <si>
    <t>Gross profit margin</t>
  </si>
  <si>
    <t>Increase in opex / increase in revenue (cum.)</t>
  </si>
  <si>
    <t>Depreciation &amp; amortisation (as % y-1 PPE)</t>
  </si>
  <si>
    <t>Acquisition spend</t>
  </si>
  <si>
    <t>Basic EPS (p)</t>
  </si>
  <si>
    <t>Diluted EPS (p)</t>
  </si>
  <si>
    <t>Market capitalisation (£m)</t>
  </si>
  <si>
    <t>Share price (p)</t>
  </si>
  <si>
    <t>UP Global Sourcing Holdings Plc</t>
  </si>
  <si>
    <t>LSE:UPGS</t>
  </si>
  <si>
    <t>£m</t>
  </si>
  <si>
    <t>GP margin</t>
  </si>
  <si>
    <t>YoY growth %</t>
  </si>
  <si>
    <t>EV/FCFF</t>
  </si>
  <si>
    <t>FCFF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</si>
</sst>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#,##0;&quot;(&quot;#,##0&quot;)&quot;"/>
    <numFmt numFmtId="166" formatCode="#,##0.0;&quot;(&quot;#,##0.0&quot;)&quot;"/>
    <numFmt numFmtId="167" formatCode="0.0%"/>
    <numFmt numFmtId="168" formatCode="0.0&quot;x&quot;"/>
    <numFmt numFmtId="169" formatCode="0.00&quot;x&quot;"/>
    <numFmt numFmtId="170" formatCode="_-* #,##0.0_-;\-* #,##0.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26"/>
      <color rgb="FF0070C0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6" borderId="0"/>
  </cellStyleXfs>
  <cellXfs count="97">
    <xf numFmtId="0" fontId="0" fillId="0" borderId="0" xfId="0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right"/>
    </xf>
    <xf numFmtId="0" fontId="2" fillId="4" borderId="0" xfId="0" applyFont="1" applyFill="1" applyAlignment="1">
      <alignment horizontal="right"/>
    </xf>
    <xf numFmtId="0" fontId="0" fillId="2" borderId="2" xfId="1" applyFont="1" applyBorder="1"/>
    <xf numFmtId="14" fontId="0" fillId="2" borderId="2" xfId="1" applyNumberFormat="1" applyFont="1" applyBorder="1"/>
    <xf numFmtId="0" fontId="0" fillId="3" borderId="0" xfId="0" applyFill="1" applyAlignment="1">
      <alignment horizontal="right"/>
    </xf>
    <xf numFmtId="0" fontId="0" fillId="2" borderId="3" xfId="1" applyFont="1" applyBorder="1" applyAlignment="1">
      <alignment horizontal="right"/>
    </xf>
    <xf numFmtId="14" fontId="0" fillId="2" borderId="3" xfId="1" applyNumberFormat="1" applyFont="1" applyBorder="1" applyAlignment="1">
      <alignment horizontal="right"/>
    </xf>
    <xf numFmtId="16" fontId="0" fillId="2" borderId="1" xfId="1" applyNumberFormat="1" applyFont="1"/>
    <xf numFmtId="16" fontId="0" fillId="3" borderId="1" xfId="1" applyNumberFormat="1" applyFont="1" applyFill="1"/>
    <xf numFmtId="0" fontId="0" fillId="3" borderId="4" xfId="0" applyFill="1" applyBorder="1" applyAlignment="1">
      <alignment horizontal="right"/>
    </xf>
    <xf numFmtId="0" fontId="3" fillId="3" borderId="4" xfId="0" applyFont="1" applyFill="1" applyBorder="1"/>
    <xf numFmtId="0" fontId="0" fillId="3" borderId="4" xfId="0" applyFill="1" applyBorder="1"/>
    <xf numFmtId="14" fontId="0" fillId="3" borderId="0" xfId="0" applyNumberFormat="1" applyFill="1"/>
    <xf numFmtId="0" fontId="4" fillId="3" borderId="5" xfId="0" applyFont="1" applyFill="1" applyBorder="1"/>
    <xf numFmtId="43" fontId="0" fillId="3" borderId="0" xfId="2" applyFont="1" applyFill="1"/>
    <xf numFmtId="164" fontId="0" fillId="3" borderId="0" xfId="2" applyNumberFormat="1" applyFont="1" applyFill="1"/>
    <xf numFmtId="164" fontId="0" fillId="3" borderId="0" xfId="2" applyNumberFormat="1" applyFont="1" applyFill="1" applyAlignment="1">
      <alignment horizontal="right"/>
    </xf>
    <xf numFmtId="0" fontId="5" fillId="3" borderId="0" xfId="0" applyFont="1" applyFill="1"/>
    <xf numFmtId="0" fontId="7" fillId="3" borderId="0" xfId="0" applyFont="1" applyFill="1" applyAlignment="1">
      <alignment horizontal="right"/>
    </xf>
    <xf numFmtId="165" fontId="6" fillId="3" borderId="0" xfId="2" applyNumberFormat="1" applyFont="1" applyFill="1" applyAlignment="1">
      <alignment horizontal="right"/>
    </xf>
    <xf numFmtId="165" fontId="0" fillId="3" borderId="0" xfId="2" applyNumberFormat="1" applyFont="1" applyFill="1"/>
    <xf numFmtId="0" fontId="8" fillId="3" borderId="0" xfId="0" applyFont="1" applyFill="1"/>
    <xf numFmtId="14" fontId="0" fillId="3" borderId="0" xfId="1" applyNumberFormat="1" applyFont="1" applyFill="1" applyBorder="1"/>
    <xf numFmtId="14" fontId="0" fillId="3" borderId="0" xfId="1" applyNumberFormat="1" applyFont="1" applyFill="1" applyBorder="1" applyAlignment="1">
      <alignment horizontal="right"/>
    </xf>
    <xf numFmtId="166" fontId="0" fillId="3" borderId="0" xfId="2" applyNumberFormat="1" applyFont="1" applyFill="1"/>
    <xf numFmtId="167" fontId="0" fillId="3" borderId="0" xfId="3" applyNumberFormat="1" applyFont="1" applyFill="1"/>
    <xf numFmtId="166" fontId="6" fillId="3" borderId="0" xfId="2" applyNumberFormat="1" applyFont="1" applyFill="1" applyAlignment="1">
      <alignment horizontal="right"/>
    </xf>
    <xf numFmtId="43" fontId="0" fillId="0" borderId="1" xfId="2" applyFont="1" applyFill="1" applyBorder="1"/>
    <xf numFmtId="10" fontId="0" fillId="0" borderId="1" xfId="3" applyNumberFormat="1" applyFont="1" applyFill="1" applyBorder="1"/>
    <xf numFmtId="10" fontId="0" fillId="3" borderId="0" xfId="0" applyNumberFormat="1" applyFill="1"/>
    <xf numFmtId="43" fontId="0" fillId="3" borderId="1" xfId="2" applyFont="1" applyFill="1" applyBorder="1"/>
    <xf numFmtId="10" fontId="0" fillId="3" borderId="1" xfId="1" applyNumberFormat="1" applyFont="1" applyFill="1"/>
    <xf numFmtId="2" fontId="0" fillId="3" borderId="0" xfId="0" applyNumberFormat="1" applyFill="1"/>
    <xf numFmtId="164" fontId="0" fillId="3" borderId="0" xfId="0" applyNumberFormat="1" applyFill="1"/>
    <xf numFmtId="0" fontId="4" fillId="3" borderId="0" xfId="0" applyFont="1" applyFill="1"/>
    <xf numFmtId="164" fontId="4" fillId="3" borderId="0" xfId="2" applyNumberFormat="1" applyFont="1" applyFill="1"/>
    <xf numFmtId="10" fontId="0" fillId="3" borderId="1" xfId="3" applyNumberFormat="1" applyFont="1" applyFill="1" applyBorder="1"/>
    <xf numFmtId="43" fontId="0" fillId="3" borderId="0" xfId="0" applyNumberFormat="1" applyFill="1"/>
    <xf numFmtId="0" fontId="10" fillId="3" borderId="0" xfId="0" applyFont="1" applyFill="1"/>
    <xf numFmtId="9" fontId="5" fillId="3" borderId="0" xfId="3" applyFont="1" applyFill="1"/>
    <xf numFmtId="0" fontId="0" fillId="3" borderId="6" xfId="0" applyFill="1" applyBorder="1"/>
    <xf numFmtId="0" fontId="5" fillId="3" borderId="6" xfId="0" applyFont="1" applyFill="1" applyBorder="1"/>
    <xf numFmtId="167" fontId="0" fillId="6" borderId="0" xfId="3" applyNumberFormat="1" applyFont="1" applyFill="1"/>
    <xf numFmtId="0" fontId="13" fillId="3" borderId="0" xfId="0" applyFont="1" applyFill="1"/>
    <xf numFmtId="168" fontId="13" fillId="6" borderId="0" xfId="4" applyFont="1"/>
    <xf numFmtId="168" fontId="13" fillId="3" borderId="0" xfId="4" applyFont="1" applyFill="1"/>
    <xf numFmtId="170" fontId="13" fillId="6" borderId="0" xfId="2" applyNumberFormat="1" applyFont="1" applyFill="1"/>
    <xf numFmtId="170" fontId="13" fillId="3" borderId="0" xfId="2" applyNumberFormat="1" applyFont="1" applyFill="1"/>
    <xf numFmtId="0" fontId="13" fillId="3" borderId="0" xfId="0" applyFont="1" applyFill="1" applyAlignment="1">
      <alignment horizontal="right"/>
    </xf>
    <xf numFmtId="10" fontId="13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right"/>
    </xf>
    <xf numFmtId="167" fontId="13" fillId="3" borderId="0" xfId="3" applyNumberFormat="1" applyFont="1" applyFill="1" applyAlignment="1">
      <alignment horizontal="right"/>
    </xf>
    <xf numFmtId="166" fontId="0" fillId="6" borderId="0" xfId="2" applyNumberFormat="1" applyFont="1" applyFill="1"/>
    <xf numFmtId="166" fontId="6" fillId="6" borderId="0" xfId="2" applyNumberFormat="1" applyFont="1" applyFill="1" applyAlignment="1">
      <alignment horizontal="right"/>
    </xf>
    <xf numFmtId="169" fontId="5" fillId="3" borderId="0" xfId="2" applyNumberFormat="1" applyFont="1" applyFill="1"/>
    <xf numFmtId="10" fontId="0" fillId="2" borderId="1" xfId="3" applyNumberFormat="1" applyFont="1" applyFill="1" applyBorder="1" applyProtection="1">
      <protection locked="0"/>
    </xf>
    <xf numFmtId="164" fontId="0" fillId="2" borderId="1" xfId="2" applyNumberFormat="1" applyFont="1" applyFill="1" applyBorder="1" applyProtection="1">
      <protection locked="0"/>
    </xf>
    <xf numFmtId="167" fontId="0" fillId="3" borderId="0" xfId="3" applyNumberFormat="1" applyFont="1" applyFill="1" applyProtection="1">
      <protection locked="0"/>
    </xf>
    <xf numFmtId="164" fontId="0" fillId="3" borderId="0" xfId="2" applyNumberFormat="1" applyFont="1" applyFill="1" applyProtection="1">
      <protection locked="0"/>
    </xf>
    <xf numFmtId="9" fontId="0" fillId="3" borderId="0" xfId="3" applyFont="1" applyFill="1" applyProtection="1">
      <protection locked="0"/>
    </xf>
    <xf numFmtId="164" fontId="0" fillId="2" borderId="1" xfId="1" applyNumberFormat="1" applyFont="1" applyProtection="1">
      <protection locked="0"/>
    </xf>
    <xf numFmtId="10" fontId="0" fillId="2" borderId="1" xfId="2" applyNumberFormat="1" applyFont="1" applyFill="1" applyBorder="1" applyProtection="1">
      <protection locked="0"/>
    </xf>
    <xf numFmtId="43" fontId="0" fillId="2" borderId="1" xfId="2" applyFont="1" applyFill="1" applyBorder="1" applyProtection="1">
      <protection locked="0"/>
    </xf>
    <xf numFmtId="0" fontId="14" fillId="3" borderId="0" xfId="0" applyFont="1" applyFill="1"/>
    <xf numFmtId="14" fontId="0" fillId="0" borderId="0" xfId="0" applyNumberFormat="1"/>
    <xf numFmtId="43" fontId="0" fillId="0" borderId="0" xfId="2" applyFont="1"/>
    <xf numFmtId="167" fontId="0" fillId="0" borderId="0" xfId="3" applyNumberFormat="1" applyFont="1"/>
    <xf numFmtId="0" fontId="0" fillId="7" borderId="0" xfId="0" applyFill="1"/>
    <xf numFmtId="0" fontId="15" fillId="3" borderId="0" xfId="0" applyFont="1" applyFill="1"/>
    <xf numFmtId="170" fontId="0" fillId="6" borderId="0" xfId="2" applyNumberFormat="1" applyFont="1" applyFill="1"/>
    <xf numFmtId="170" fontId="0" fillId="0" borderId="0" xfId="2" applyNumberFormat="1" applyFont="1" applyFill="1"/>
    <xf numFmtId="170" fontId="0" fillId="3" borderId="0" xfId="2" applyNumberFormat="1" applyFont="1" applyFill="1" applyProtection="1">
      <protection locked="0"/>
    </xf>
    <xf numFmtId="167" fontId="0" fillId="0" borderId="0" xfId="3" applyNumberFormat="1" applyFont="1" applyFill="1"/>
    <xf numFmtId="0" fontId="0" fillId="2" borderId="3" xfId="1" quotePrefix="1" applyFont="1" applyBorder="1" applyAlignment="1">
      <alignment horizontal="right"/>
    </xf>
    <xf numFmtId="167" fontId="0" fillId="6" borderId="6" xfId="3" applyNumberFormat="1" applyFont="1" applyFill="1" applyBorder="1"/>
    <xf numFmtId="167" fontId="0" fillId="3" borderId="6" xfId="3" applyNumberFormat="1" applyFont="1" applyFill="1" applyBorder="1"/>
    <xf numFmtId="0" fontId="4" fillId="3" borderId="7" xfId="0" applyFont="1" applyFill="1" applyBorder="1"/>
    <xf numFmtId="166" fontId="0" fillId="6" borderId="5" xfId="2" applyNumberFormat="1" applyFont="1" applyFill="1" applyBorder="1"/>
    <xf numFmtId="166" fontId="0" fillId="3" borderId="5" xfId="2" applyNumberFormat="1" applyFont="1" applyFill="1" applyBorder="1"/>
    <xf numFmtId="166" fontId="0" fillId="6" borderId="0" xfId="0" applyNumberFormat="1" applyFill="1" applyAlignment="1">
      <alignment horizontal="right"/>
    </xf>
    <xf numFmtId="166" fontId="0" fillId="6" borderId="0" xfId="0" applyNumberFormat="1" applyFill="1"/>
    <xf numFmtId="166" fontId="0" fillId="3" borderId="0" xfId="0" applyNumberFormat="1" applyFill="1"/>
    <xf numFmtId="166" fontId="0" fillId="4" borderId="0" xfId="0" applyNumberFormat="1" applyFill="1" applyAlignment="1">
      <alignment horizontal="right"/>
    </xf>
    <xf numFmtId="166" fontId="2" fillId="4" borderId="0" xfId="0" applyNumberFormat="1" applyFont="1" applyFill="1" applyAlignment="1">
      <alignment horizontal="right"/>
    </xf>
    <xf numFmtId="166" fontId="9" fillId="5" borderId="0" xfId="2" applyNumberFormat="1" applyFont="1" applyFill="1"/>
    <xf numFmtId="166" fontId="0" fillId="3" borderId="0" xfId="0" applyNumberFormat="1" applyFill="1" applyAlignment="1">
      <alignment horizontal="right"/>
    </xf>
    <xf numFmtId="166" fontId="4" fillId="6" borderId="0" xfId="2" applyNumberFormat="1" applyFont="1" applyFill="1" applyBorder="1"/>
    <xf numFmtId="166" fontId="4" fillId="3" borderId="0" xfId="2" applyNumberFormat="1" applyFont="1" applyFill="1" applyBorder="1"/>
    <xf numFmtId="166" fontId="4" fillId="6" borderId="7" xfId="2" applyNumberFormat="1" applyFont="1" applyFill="1" applyBorder="1"/>
    <xf numFmtId="166" fontId="4" fillId="3" borderId="7" xfId="2" applyNumberFormat="1" applyFont="1" applyFill="1" applyBorder="1"/>
    <xf numFmtId="166" fontId="0" fillId="6" borderId="0" xfId="2" applyNumberFormat="1" applyFont="1" applyFill="1" applyBorder="1"/>
    <xf numFmtId="166" fontId="0" fillId="3" borderId="0" xfId="2" applyNumberFormat="1" applyFont="1" applyFill="1" applyBorder="1"/>
    <xf numFmtId="170" fontId="0" fillId="3" borderId="0" xfId="0" applyNumberFormat="1" applyFill="1"/>
  </cellXfs>
  <cellStyles count="5">
    <cellStyle name="Comma" xfId="2" builtinId="3"/>
    <cellStyle name="Normal" xfId="0" builtinId="0"/>
    <cellStyle name="Note" xfId="1" builtinId="10"/>
    <cellStyle name="Percent" xfId="3" builtinId="5"/>
    <cellStyle name="Style 1" xfId="4" xr:uid="{CAA3948D-C561-4D3F-977D-B4A6D04E8389}"/>
  </cellStyles>
  <dxfs count="12">
    <dxf>
      <font>
        <color rgb="FFFF0000"/>
      </font>
    </dxf>
    <dxf>
      <font>
        <color rgb="FF00B050"/>
      </font>
      <numFmt numFmtId="171" formatCode="&quot;OK&quot;"/>
    </dxf>
    <dxf>
      <font>
        <color rgb="FF00B050"/>
      </font>
      <numFmt numFmtId="171" formatCode="&quot;OK&quot;"/>
    </dxf>
    <dxf>
      <font>
        <color rgb="FF00B050"/>
      </font>
      <numFmt numFmtId="171" formatCode="&quot;OK&quot;"/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3197F-FF69-4E37-AEBC-95A85D315F7C}">
  <sheetPr>
    <tabColor theme="4" tint="0.79998168889431442"/>
  </sheetPr>
  <dimension ref="A1:E23"/>
  <sheetViews>
    <sheetView topLeftCell="A3" workbookViewId="0">
      <selection activeCell="E13" sqref="E13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5" width="12.6640625" style="8" customWidth="1"/>
    <col min="6" max="9" width="12.6640625" style="1" customWidth="1"/>
    <col min="10" max="10" width="14.33203125" style="1" bestFit="1" customWidth="1"/>
    <col min="11" max="50" width="12.6640625" style="1" customWidth="1"/>
    <col min="51" max="16384" width="9.109375" style="1"/>
  </cols>
  <sheetData>
    <row r="1" spans="1:5" ht="33.6" x14ac:dyDescent="0.65">
      <c r="B1" s="67" t="s">
        <v>135</v>
      </c>
    </row>
    <row r="2" spans="1:5" s="15" customFormat="1" ht="15" thickBot="1" x14ac:dyDescent="0.35">
      <c r="A2" s="13"/>
      <c r="B2" s="14" t="str">
        <f>UPPER(cover!E8&amp;" - "&amp;DAY(cover!E12)&amp;"/"&amp;MONTH(cover!E12)&amp;"/"&amp;YEAR(cover!E12))</f>
        <v>UP GLOBAL SOURCING HOLDINGS PLC - 19/4/2023</v>
      </c>
      <c r="E2" s="13"/>
    </row>
    <row r="3" spans="1:5" ht="15" thickTop="1" x14ac:dyDescent="0.3">
      <c r="B3" s="25" t="str">
        <f>IF(checks!E10&lt;&gt;0,"**ERROR**","")</f>
        <v/>
      </c>
    </row>
    <row r="4" spans="1:5" s="3" customFormat="1" x14ac:dyDescent="0.3">
      <c r="A4" s="5"/>
      <c r="B4" s="2" t="s">
        <v>2</v>
      </c>
      <c r="E4" s="4"/>
    </row>
    <row r="6" spans="1:5" x14ac:dyDescent="0.3">
      <c r="B6" s="2" t="s">
        <v>4</v>
      </c>
      <c r="C6" s="3"/>
      <c r="D6" s="3"/>
      <c r="E6" s="4"/>
    </row>
    <row r="8" spans="1:5" x14ac:dyDescent="0.3">
      <c r="B8" s="1" t="s">
        <v>0</v>
      </c>
      <c r="D8" s="6"/>
      <c r="E8" s="9" t="s">
        <v>308</v>
      </c>
    </row>
    <row r="9" spans="1:5" x14ac:dyDescent="0.3">
      <c r="B9" s="1" t="s">
        <v>1</v>
      </c>
      <c r="D9" s="6"/>
      <c r="E9" s="9" t="s">
        <v>309</v>
      </c>
    </row>
    <row r="10" spans="1:5" x14ac:dyDescent="0.3">
      <c r="B10" s="1" t="s">
        <v>3</v>
      </c>
      <c r="D10" s="6"/>
      <c r="E10" s="77" t="s">
        <v>310</v>
      </c>
    </row>
    <row r="11" spans="1:5" x14ac:dyDescent="0.3">
      <c r="B11" s="1" t="s">
        <v>6</v>
      </c>
      <c r="D11" s="6"/>
      <c r="E11" s="10">
        <v>45035</v>
      </c>
    </row>
    <row r="12" spans="1:5" x14ac:dyDescent="0.3">
      <c r="B12" s="1" t="s">
        <v>104</v>
      </c>
      <c r="D12" s="7"/>
      <c r="E12" s="10">
        <f>E11</f>
        <v>45035</v>
      </c>
    </row>
    <row r="13" spans="1:5" x14ac:dyDescent="0.3">
      <c r="B13" s="1" t="s">
        <v>98</v>
      </c>
      <c r="D13" s="7"/>
      <c r="E13" s="10">
        <v>44957</v>
      </c>
    </row>
    <row r="14" spans="1:5" x14ac:dyDescent="0.3">
      <c r="B14" s="1" t="s">
        <v>29</v>
      </c>
      <c r="D14" s="26"/>
      <c r="E14" s="27">
        <f>E13</f>
        <v>44957</v>
      </c>
    </row>
    <row r="16" spans="1:5" x14ac:dyDescent="0.3">
      <c r="B16" s="2" t="s">
        <v>5</v>
      </c>
      <c r="C16" s="3"/>
      <c r="D16" s="3"/>
      <c r="E16" s="4"/>
    </row>
    <row r="18" spans="2:5" x14ac:dyDescent="0.3">
      <c r="D18" s="8" t="s">
        <v>11</v>
      </c>
      <c r="E18" s="8" t="s">
        <v>13</v>
      </c>
    </row>
    <row r="19" spans="2:5" x14ac:dyDescent="0.3">
      <c r="D19" s="8" t="s">
        <v>12</v>
      </c>
      <c r="E19" s="8" t="s">
        <v>12</v>
      </c>
    </row>
    <row r="20" spans="2:5" x14ac:dyDescent="0.3">
      <c r="B20" s="1" t="s">
        <v>7</v>
      </c>
      <c r="D20" s="11">
        <v>44864</v>
      </c>
      <c r="E20" s="11"/>
    </row>
    <row r="21" spans="2:5" x14ac:dyDescent="0.3">
      <c r="B21" s="1" t="s">
        <v>10</v>
      </c>
      <c r="D21" s="12">
        <f>EOMONTH(D20,3)</f>
        <v>44957</v>
      </c>
      <c r="E21" s="11"/>
    </row>
    <row r="22" spans="2:5" x14ac:dyDescent="0.3">
      <c r="B22" s="1" t="s">
        <v>8</v>
      </c>
      <c r="D22" s="12">
        <f>EOMONTH(D21,3)</f>
        <v>45046</v>
      </c>
      <c r="E22" s="11"/>
    </row>
    <row r="23" spans="2:5" x14ac:dyDescent="0.3">
      <c r="B23" s="1" t="s">
        <v>9</v>
      </c>
      <c r="D23" s="12">
        <f>EOMONTH(D22,3)</f>
        <v>45138</v>
      </c>
      <c r="E23" s="11"/>
    </row>
  </sheetData>
  <sheetProtection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8CA1-1204-42E4-A52F-E4EB2BD409DA}">
  <sheetPr>
    <tabColor theme="6" tint="0.59999389629810485"/>
  </sheetPr>
  <dimension ref="A2:X73"/>
  <sheetViews>
    <sheetView workbookViewId="0">
      <pane xSplit="1" ySplit="4" topLeftCell="B37" activePane="bottomRight" state="frozen"/>
      <selection pane="topRight" activeCell="B1" sqref="B1"/>
      <selection pane="bottomLeft" activeCell="A5" sqref="A5"/>
      <selection pane="bottomRight" activeCell="A44" sqref="A44"/>
    </sheetView>
  </sheetViews>
  <sheetFormatPr defaultRowHeight="14.4" x14ac:dyDescent="0.3"/>
  <cols>
    <col min="1" max="1" width="27.88671875" bestFit="1" customWidth="1"/>
    <col min="2" max="24" width="11.109375" bestFit="1" customWidth="1"/>
  </cols>
  <sheetData>
    <row r="2" spans="1:24" x14ac:dyDescent="0.3">
      <c r="A2" t="s">
        <v>138</v>
      </c>
      <c r="B2">
        <v>2014</v>
      </c>
      <c r="C2">
        <v>2015</v>
      </c>
      <c r="D2">
        <v>2016</v>
      </c>
      <c r="E2">
        <v>2017</v>
      </c>
      <c r="F2">
        <v>2018</v>
      </c>
      <c r="G2">
        <v>2019</v>
      </c>
      <c r="H2">
        <v>2020</v>
      </c>
      <c r="I2">
        <v>2021</v>
      </c>
      <c r="J2">
        <v>2022</v>
      </c>
    </row>
    <row r="3" spans="1:24" x14ac:dyDescent="0.3">
      <c r="A3" t="s">
        <v>148</v>
      </c>
      <c r="B3" s="68">
        <v>41759</v>
      </c>
      <c r="C3" s="68">
        <v>42216</v>
      </c>
      <c r="D3" s="68">
        <v>42582</v>
      </c>
      <c r="E3" s="68">
        <v>42947</v>
      </c>
      <c r="F3" s="68">
        <v>43312</v>
      </c>
      <c r="G3" s="68">
        <v>43677</v>
      </c>
      <c r="H3" s="68">
        <v>44043</v>
      </c>
      <c r="I3" s="68">
        <v>44408</v>
      </c>
      <c r="J3" s="68">
        <v>44773</v>
      </c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3">
      <c r="A4" t="s">
        <v>149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 t="s">
        <v>288</v>
      </c>
      <c r="H4" t="s">
        <v>288</v>
      </c>
      <c r="I4" t="s">
        <v>288</v>
      </c>
      <c r="J4" t="s">
        <v>288</v>
      </c>
    </row>
    <row r="5" spans="1:24" x14ac:dyDescent="0.3">
      <c r="A5" t="s">
        <v>150</v>
      </c>
    </row>
    <row r="6" spans="1:24" x14ac:dyDescent="0.3">
      <c r="A6" t="s">
        <v>151</v>
      </c>
    </row>
    <row r="7" spans="1:24" x14ac:dyDescent="0.3">
      <c r="A7" t="s">
        <v>152</v>
      </c>
      <c r="B7">
        <v>-0.2</v>
      </c>
      <c r="C7">
        <v>3.6</v>
      </c>
      <c r="D7">
        <v>4.9000000000000004</v>
      </c>
      <c r="E7">
        <v>5.6</v>
      </c>
      <c r="F7">
        <v>4.3</v>
      </c>
      <c r="G7">
        <v>6.4</v>
      </c>
      <c r="H7">
        <v>6.6</v>
      </c>
      <c r="I7">
        <v>7.3</v>
      </c>
      <c r="J7">
        <v>12.4</v>
      </c>
    </row>
    <row r="8" spans="1:24" x14ac:dyDescent="0.3">
      <c r="A8" t="s">
        <v>48</v>
      </c>
      <c r="B8">
        <v>0.2</v>
      </c>
      <c r="C8">
        <v>0.3</v>
      </c>
      <c r="D8">
        <v>0.3</v>
      </c>
      <c r="E8">
        <v>0.4</v>
      </c>
      <c r="F8">
        <v>0.5</v>
      </c>
      <c r="G8">
        <v>1.5</v>
      </c>
      <c r="H8">
        <v>1.4</v>
      </c>
      <c r="I8">
        <v>1.6</v>
      </c>
      <c r="J8">
        <v>2.1</v>
      </c>
    </row>
    <row r="9" spans="1:24" x14ac:dyDescent="0.3">
      <c r="A9" t="s">
        <v>153</v>
      </c>
      <c r="B9">
        <v>0</v>
      </c>
      <c r="C9">
        <v>0.8</v>
      </c>
      <c r="D9">
        <v>1.4</v>
      </c>
      <c r="E9">
        <v>1.9</v>
      </c>
      <c r="F9">
        <v>1.1000000000000001</v>
      </c>
      <c r="G9">
        <v>1.7</v>
      </c>
      <c r="H9">
        <v>1.7</v>
      </c>
      <c r="I9">
        <v>2.2000000000000002</v>
      </c>
      <c r="J9">
        <v>3.1</v>
      </c>
    </row>
    <row r="10" spans="1:24" x14ac:dyDescent="0.3">
      <c r="A10" t="s">
        <v>154</v>
      </c>
    </row>
    <row r="11" spans="1:24" x14ac:dyDescent="0.3">
      <c r="A11" t="s">
        <v>289</v>
      </c>
      <c r="B11">
        <v>0</v>
      </c>
      <c r="C11">
        <v>0</v>
      </c>
      <c r="E11">
        <v>0</v>
      </c>
      <c r="F11">
        <v>-0.1</v>
      </c>
      <c r="G11">
        <v>0.1</v>
      </c>
      <c r="H11">
        <v>0.3</v>
      </c>
      <c r="I11">
        <v>-0.7</v>
      </c>
      <c r="J11">
        <v>0.3</v>
      </c>
    </row>
    <row r="12" spans="1:24" x14ac:dyDescent="0.3">
      <c r="A12" t="s">
        <v>155</v>
      </c>
      <c r="B12">
        <v>-0.2</v>
      </c>
      <c r="C12">
        <v>-2</v>
      </c>
      <c r="D12">
        <v>-2.8</v>
      </c>
      <c r="E12">
        <v>-0.5</v>
      </c>
      <c r="F12">
        <v>-5.4</v>
      </c>
      <c r="G12">
        <v>-3.9</v>
      </c>
      <c r="H12">
        <v>4.4000000000000004</v>
      </c>
      <c r="I12">
        <v>-0.4</v>
      </c>
      <c r="J12">
        <v>-7.7</v>
      </c>
    </row>
    <row r="13" spans="1:24" x14ac:dyDescent="0.3">
      <c r="A13" t="s">
        <v>156</v>
      </c>
      <c r="B13">
        <v>2.7</v>
      </c>
      <c r="C13">
        <v>-3.3</v>
      </c>
      <c r="D13">
        <v>-4.7</v>
      </c>
      <c r="E13">
        <v>4</v>
      </c>
      <c r="F13">
        <v>-3.1</v>
      </c>
      <c r="G13">
        <v>-3.9</v>
      </c>
      <c r="H13">
        <v>0.1</v>
      </c>
      <c r="I13">
        <v>-8.1</v>
      </c>
      <c r="J13">
        <v>-5.6</v>
      </c>
    </row>
    <row r="14" spans="1:24" x14ac:dyDescent="0.3">
      <c r="A14" t="s">
        <v>157</v>
      </c>
      <c r="B14">
        <v>-0.4</v>
      </c>
      <c r="C14">
        <v>3</v>
      </c>
      <c r="D14">
        <v>5.5</v>
      </c>
      <c r="E14">
        <v>-1.8</v>
      </c>
      <c r="F14">
        <v>0.2</v>
      </c>
      <c r="G14">
        <v>2.9</v>
      </c>
      <c r="H14">
        <v>2.2999999999999998</v>
      </c>
      <c r="I14">
        <v>9</v>
      </c>
      <c r="J14">
        <v>1.2</v>
      </c>
    </row>
    <row r="15" spans="1:24" x14ac:dyDescent="0.3">
      <c r="A15" t="s">
        <v>158</v>
      </c>
      <c r="E15">
        <v>0</v>
      </c>
      <c r="I15">
        <v>0</v>
      </c>
      <c r="J15">
        <v>0</v>
      </c>
    </row>
    <row r="16" spans="1:24" x14ac:dyDescent="0.3">
      <c r="A16" t="s">
        <v>159</v>
      </c>
      <c r="B16">
        <v>2.1</v>
      </c>
      <c r="C16">
        <v>-2.2999999999999998</v>
      </c>
      <c r="D16">
        <v>-2</v>
      </c>
      <c r="E16">
        <v>1.7</v>
      </c>
      <c r="F16">
        <v>-8.3000000000000007</v>
      </c>
      <c r="G16">
        <v>-4.9000000000000004</v>
      </c>
      <c r="H16">
        <v>6.9</v>
      </c>
      <c r="I16">
        <v>0.6</v>
      </c>
      <c r="J16">
        <v>-12.1</v>
      </c>
    </row>
    <row r="17" spans="1:10" x14ac:dyDescent="0.3">
      <c r="A17" t="s">
        <v>160</v>
      </c>
      <c r="B17">
        <v>1.5</v>
      </c>
      <c r="C17">
        <v>0.8</v>
      </c>
      <c r="D17">
        <v>0.4</v>
      </c>
      <c r="E17">
        <v>0.5</v>
      </c>
      <c r="F17">
        <v>0.5</v>
      </c>
      <c r="G17">
        <v>1.1000000000000001</v>
      </c>
      <c r="H17">
        <v>1</v>
      </c>
      <c r="I17">
        <v>0.7</v>
      </c>
      <c r="J17">
        <v>1.2</v>
      </c>
    </row>
    <row r="18" spans="1:10" x14ac:dyDescent="0.3">
      <c r="A18" t="s">
        <v>161</v>
      </c>
      <c r="B18">
        <v>3.6</v>
      </c>
      <c r="C18">
        <v>3.2</v>
      </c>
      <c r="D18">
        <v>5</v>
      </c>
      <c r="E18">
        <v>10.1</v>
      </c>
      <c r="F18">
        <v>-1.9</v>
      </c>
      <c r="G18">
        <v>5.9</v>
      </c>
      <c r="H18">
        <v>18</v>
      </c>
      <c r="I18">
        <v>11.8</v>
      </c>
      <c r="J18">
        <v>6.9</v>
      </c>
    </row>
    <row r="19" spans="1:10" x14ac:dyDescent="0.3">
      <c r="A19" t="s">
        <v>290</v>
      </c>
    </row>
    <row r="20" spans="1:10" x14ac:dyDescent="0.3">
      <c r="A20" t="s">
        <v>291</v>
      </c>
    </row>
    <row r="21" spans="1:10" x14ac:dyDescent="0.3">
      <c r="A21" t="s">
        <v>292</v>
      </c>
    </row>
    <row r="22" spans="1:10" x14ac:dyDescent="0.3">
      <c r="A22" t="s">
        <v>293</v>
      </c>
    </row>
    <row r="23" spans="1:10" x14ac:dyDescent="0.3">
      <c r="A23" t="s">
        <v>188</v>
      </c>
    </row>
    <row r="24" spans="1:10" x14ac:dyDescent="0.3">
      <c r="A24" t="s">
        <v>49</v>
      </c>
      <c r="B24">
        <v>-0.1</v>
      </c>
      <c r="C24">
        <v>-0.1</v>
      </c>
      <c r="D24">
        <v>-1.3</v>
      </c>
      <c r="E24">
        <v>-0.7</v>
      </c>
      <c r="F24">
        <v>-0.2</v>
      </c>
      <c r="G24">
        <v>-1.3</v>
      </c>
      <c r="H24">
        <v>-2.2999999999999998</v>
      </c>
      <c r="I24">
        <v>-2.6</v>
      </c>
      <c r="J24">
        <v>-2.2999999999999998</v>
      </c>
    </row>
    <row r="25" spans="1:10" x14ac:dyDescent="0.3">
      <c r="A25" t="s">
        <v>162</v>
      </c>
      <c r="B25">
        <v>3.5</v>
      </c>
      <c r="C25">
        <v>3.1</v>
      </c>
      <c r="D25">
        <v>3.7</v>
      </c>
      <c r="E25">
        <v>9.4</v>
      </c>
      <c r="F25">
        <v>-2.1</v>
      </c>
      <c r="G25">
        <v>4.5999999999999996</v>
      </c>
      <c r="H25">
        <v>15.8</v>
      </c>
      <c r="I25">
        <v>9.1999999999999993</v>
      </c>
      <c r="J25">
        <v>4.5</v>
      </c>
    </row>
    <row r="26" spans="1:10" x14ac:dyDescent="0.3">
      <c r="A26" t="s">
        <v>163</v>
      </c>
      <c r="B26">
        <v>-0.3</v>
      </c>
      <c r="C26">
        <v>-0.5</v>
      </c>
      <c r="D26">
        <v>-0.7</v>
      </c>
      <c r="E26">
        <v>-1.2</v>
      </c>
      <c r="F26">
        <v>-0.9</v>
      </c>
      <c r="G26">
        <v>-0.7</v>
      </c>
      <c r="H26">
        <v>-0.6</v>
      </c>
      <c r="I26">
        <v>-2.4</v>
      </c>
      <c r="J26">
        <v>-1.8</v>
      </c>
    </row>
    <row r="27" spans="1:10" x14ac:dyDescent="0.3">
      <c r="A27" t="s">
        <v>164</v>
      </c>
      <c r="B27">
        <v>0</v>
      </c>
      <c r="C27">
        <v>0</v>
      </c>
      <c r="E27">
        <v>0</v>
      </c>
      <c r="G27">
        <v>0</v>
      </c>
      <c r="H27">
        <v>0</v>
      </c>
    </row>
    <row r="28" spans="1:10" x14ac:dyDescent="0.3">
      <c r="A28" t="s">
        <v>50</v>
      </c>
      <c r="I28">
        <v>-30.6</v>
      </c>
      <c r="J28">
        <v>-2</v>
      </c>
    </row>
    <row r="29" spans="1:10" x14ac:dyDescent="0.3">
      <c r="A29" t="s">
        <v>165</v>
      </c>
    </row>
    <row r="30" spans="1:10" x14ac:dyDescent="0.3">
      <c r="A30" t="s">
        <v>191</v>
      </c>
      <c r="B30">
        <v>0.1</v>
      </c>
      <c r="F30">
        <v>0.1</v>
      </c>
      <c r="G30">
        <v>0</v>
      </c>
    </row>
    <row r="31" spans="1:10" x14ac:dyDescent="0.3">
      <c r="A31" t="s">
        <v>186</v>
      </c>
    </row>
    <row r="32" spans="1:10" x14ac:dyDescent="0.3">
      <c r="A32" t="s">
        <v>166</v>
      </c>
    </row>
    <row r="33" spans="1:10" x14ac:dyDescent="0.3">
      <c r="A33" t="s">
        <v>167</v>
      </c>
    </row>
    <row r="34" spans="1:10" x14ac:dyDescent="0.3">
      <c r="A34" t="s">
        <v>168</v>
      </c>
    </row>
    <row r="35" spans="1:10" x14ac:dyDescent="0.3">
      <c r="A35" t="s">
        <v>169</v>
      </c>
    </row>
    <row r="36" spans="1:10" x14ac:dyDescent="0.3">
      <c r="A36" t="s">
        <v>170</v>
      </c>
    </row>
    <row r="37" spans="1:10" x14ac:dyDescent="0.3">
      <c r="A37" t="s">
        <v>171</v>
      </c>
      <c r="B37">
        <v>-0.1</v>
      </c>
      <c r="C37">
        <v>-0.4</v>
      </c>
      <c r="D37">
        <v>-0.7</v>
      </c>
      <c r="E37">
        <v>-1.1000000000000001</v>
      </c>
      <c r="F37">
        <v>-0.9</v>
      </c>
      <c r="G37">
        <v>-0.7</v>
      </c>
      <c r="H37">
        <v>-0.6</v>
      </c>
      <c r="I37">
        <v>-32.9</v>
      </c>
      <c r="J37">
        <v>-3.8</v>
      </c>
    </row>
    <row r="38" spans="1:10" x14ac:dyDescent="0.3">
      <c r="A38" t="s">
        <v>172</v>
      </c>
      <c r="E38">
        <v>0</v>
      </c>
      <c r="I38">
        <v>14.4</v>
      </c>
      <c r="J38">
        <v>0.4</v>
      </c>
    </row>
    <row r="39" spans="1:10" x14ac:dyDescent="0.3">
      <c r="A39" t="s">
        <v>52</v>
      </c>
      <c r="B39">
        <v>0</v>
      </c>
      <c r="C39">
        <v>0</v>
      </c>
      <c r="D39">
        <v>0</v>
      </c>
      <c r="G39">
        <v>-1.6</v>
      </c>
      <c r="H39">
        <v>-0.5</v>
      </c>
    </row>
    <row r="40" spans="1:10" x14ac:dyDescent="0.3">
      <c r="A40" t="s">
        <v>173</v>
      </c>
      <c r="C40">
        <v>2.9</v>
      </c>
      <c r="D40">
        <v>8.9</v>
      </c>
      <c r="F40">
        <v>9.1</v>
      </c>
      <c r="G40">
        <v>2.1</v>
      </c>
      <c r="I40">
        <v>16</v>
      </c>
      <c r="J40">
        <v>14.3</v>
      </c>
    </row>
    <row r="41" spans="1:10" x14ac:dyDescent="0.3">
      <c r="A41" t="s">
        <v>174</v>
      </c>
      <c r="B41">
        <v>-3.2</v>
      </c>
      <c r="C41">
        <v>-5</v>
      </c>
      <c r="D41">
        <v>-9.4</v>
      </c>
      <c r="E41">
        <v>-4.0999999999999996</v>
      </c>
      <c r="F41">
        <v>-2.2000000000000002</v>
      </c>
      <c r="G41">
        <v>-0.5</v>
      </c>
      <c r="H41">
        <v>-10.4</v>
      </c>
      <c r="I41">
        <v>-1.1000000000000001</v>
      </c>
      <c r="J41">
        <v>-2.8</v>
      </c>
    </row>
    <row r="42" spans="1:10" x14ac:dyDescent="0.3">
      <c r="A42" t="s">
        <v>175</v>
      </c>
    </row>
    <row r="43" spans="1:10" x14ac:dyDescent="0.3">
      <c r="A43" t="s">
        <v>176</v>
      </c>
    </row>
    <row r="44" spans="1:10" x14ac:dyDescent="0.3">
      <c r="A44" t="s">
        <v>177</v>
      </c>
      <c r="E44">
        <v>-3.8</v>
      </c>
      <c r="F44">
        <v>-3.6</v>
      </c>
      <c r="G44">
        <v>-2.4</v>
      </c>
      <c r="H44">
        <v>-2.2999999999999998</v>
      </c>
      <c r="I44">
        <v>-4.4000000000000004</v>
      </c>
      <c r="J44">
        <v>-4.8</v>
      </c>
    </row>
    <row r="45" spans="1:10" x14ac:dyDescent="0.3">
      <c r="A45" t="s">
        <v>294</v>
      </c>
    </row>
    <row r="46" spans="1:10" x14ac:dyDescent="0.3">
      <c r="A46" t="s">
        <v>187</v>
      </c>
      <c r="G46">
        <v>-0.8</v>
      </c>
      <c r="H46">
        <v>-0.8</v>
      </c>
      <c r="I46">
        <v>-0.7</v>
      </c>
      <c r="J46">
        <v>-0.9</v>
      </c>
    </row>
    <row r="47" spans="1:10" x14ac:dyDescent="0.3">
      <c r="A47" t="s">
        <v>190</v>
      </c>
    </row>
    <row r="48" spans="1:10" x14ac:dyDescent="0.3">
      <c r="A48" t="s">
        <v>51</v>
      </c>
      <c r="B48">
        <v>-0.3</v>
      </c>
      <c r="C48">
        <v>-0.4</v>
      </c>
      <c r="D48">
        <v>-2.2999999999999998</v>
      </c>
      <c r="E48">
        <v>-0.5</v>
      </c>
      <c r="F48">
        <v>-0.4</v>
      </c>
      <c r="G48">
        <v>-0.7</v>
      </c>
      <c r="H48">
        <v>-0.7</v>
      </c>
      <c r="I48">
        <v>-0.3</v>
      </c>
      <c r="J48">
        <v>-0.8</v>
      </c>
    </row>
    <row r="49" spans="1:10" x14ac:dyDescent="0.3">
      <c r="A49" t="s">
        <v>178</v>
      </c>
      <c r="C49">
        <v>-0.1</v>
      </c>
      <c r="D49">
        <v>-0.1</v>
      </c>
      <c r="E49">
        <v>-3.8</v>
      </c>
      <c r="F49">
        <v>-3.6</v>
      </c>
      <c r="G49">
        <v>-2.4</v>
      </c>
      <c r="H49">
        <v>-2.5</v>
      </c>
      <c r="I49">
        <v>-4.7</v>
      </c>
      <c r="J49">
        <v>-4.8</v>
      </c>
    </row>
    <row r="50" spans="1:10" x14ac:dyDescent="0.3">
      <c r="A50" t="s">
        <v>179</v>
      </c>
      <c r="B50">
        <v>-3.5</v>
      </c>
      <c r="C50">
        <v>-2.7</v>
      </c>
      <c r="D50">
        <v>-2.9</v>
      </c>
      <c r="E50">
        <v>-8.3000000000000007</v>
      </c>
      <c r="F50">
        <v>2.9</v>
      </c>
      <c r="G50">
        <v>-3.9</v>
      </c>
      <c r="H50">
        <v>-15</v>
      </c>
      <c r="I50">
        <v>23.6</v>
      </c>
      <c r="J50">
        <v>5.3</v>
      </c>
    </row>
    <row r="51" spans="1:10" x14ac:dyDescent="0.3">
      <c r="A51" t="s">
        <v>180</v>
      </c>
      <c r="B51">
        <v>-0.1</v>
      </c>
      <c r="C51">
        <v>0</v>
      </c>
      <c r="D51">
        <v>0.1</v>
      </c>
      <c r="E51">
        <v>0</v>
      </c>
      <c r="F51">
        <v>0</v>
      </c>
      <c r="G51">
        <v>0</v>
      </c>
      <c r="H51">
        <v>0.2</v>
      </c>
      <c r="I51">
        <v>-0.2</v>
      </c>
      <c r="J51">
        <v>6.1</v>
      </c>
    </row>
    <row r="52" spans="1:10" x14ac:dyDescent="0.3">
      <c r="A52" t="s">
        <v>181</v>
      </c>
    </row>
    <row r="53" spans="1:10" x14ac:dyDescent="0.3">
      <c r="A53" t="s">
        <v>182</v>
      </c>
      <c r="B53">
        <v>0.2</v>
      </c>
      <c r="C53">
        <v>0.1</v>
      </c>
      <c r="D53">
        <v>0.1</v>
      </c>
      <c r="E53">
        <v>0.1</v>
      </c>
      <c r="F53">
        <v>0.1</v>
      </c>
      <c r="G53">
        <v>0.1</v>
      </c>
      <c r="H53">
        <v>0.1</v>
      </c>
      <c r="I53">
        <v>0.3</v>
      </c>
      <c r="J53">
        <v>0.1</v>
      </c>
    </row>
    <row r="54" spans="1:10" x14ac:dyDescent="0.3">
      <c r="A54" t="s">
        <v>180</v>
      </c>
      <c r="B54">
        <v>-0.1</v>
      </c>
      <c r="C54">
        <v>0</v>
      </c>
      <c r="D54">
        <v>0.1</v>
      </c>
      <c r="E54">
        <v>0</v>
      </c>
      <c r="F54">
        <v>0</v>
      </c>
      <c r="G54">
        <v>0</v>
      </c>
      <c r="H54">
        <v>0.2</v>
      </c>
      <c r="I54">
        <v>-0.2</v>
      </c>
      <c r="J54">
        <v>6.1</v>
      </c>
    </row>
    <row r="55" spans="1:10" x14ac:dyDescent="0.3">
      <c r="A55" t="s">
        <v>183</v>
      </c>
      <c r="B55">
        <v>0</v>
      </c>
      <c r="C55">
        <v>0</v>
      </c>
      <c r="D55">
        <v>0</v>
      </c>
      <c r="G55">
        <v>0</v>
      </c>
      <c r="H55">
        <v>0</v>
      </c>
      <c r="I55">
        <v>0</v>
      </c>
      <c r="J55">
        <v>0</v>
      </c>
    </row>
    <row r="56" spans="1:10" x14ac:dyDescent="0.3">
      <c r="A56" t="s">
        <v>184</v>
      </c>
      <c r="B56">
        <v>0.1</v>
      </c>
      <c r="C56">
        <v>0.1</v>
      </c>
      <c r="D56">
        <v>0.1</v>
      </c>
      <c r="E56">
        <v>0.1</v>
      </c>
      <c r="F56">
        <v>0.1</v>
      </c>
      <c r="G56">
        <v>0.1</v>
      </c>
      <c r="H56">
        <v>0.3</v>
      </c>
      <c r="I56">
        <v>0.1</v>
      </c>
      <c r="J56">
        <v>6.2</v>
      </c>
    </row>
    <row r="57" spans="1:10" x14ac:dyDescent="0.3">
      <c r="A57" t="s">
        <v>185</v>
      </c>
    </row>
    <row r="58" spans="1:10" x14ac:dyDescent="0.3">
      <c r="A58" t="s">
        <v>161</v>
      </c>
      <c r="B58">
        <v>3.6</v>
      </c>
      <c r="C58">
        <v>3.2</v>
      </c>
      <c r="D58">
        <v>5</v>
      </c>
      <c r="E58">
        <v>10.1</v>
      </c>
      <c r="F58">
        <v>-1.9</v>
      </c>
      <c r="G58">
        <v>5.9</v>
      </c>
      <c r="H58">
        <v>18</v>
      </c>
      <c r="I58">
        <v>11.8</v>
      </c>
      <c r="J58">
        <v>6.9</v>
      </c>
    </row>
    <row r="59" spans="1:10" x14ac:dyDescent="0.3">
      <c r="A59" t="s">
        <v>49</v>
      </c>
      <c r="B59">
        <v>-0.1</v>
      </c>
      <c r="C59">
        <v>-0.1</v>
      </c>
      <c r="D59">
        <v>-1.3</v>
      </c>
      <c r="E59">
        <v>-0.7</v>
      </c>
      <c r="F59">
        <v>-0.2</v>
      </c>
      <c r="G59">
        <v>-1.3</v>
      </c>
      <c r="H59">
        <v>-2.2999999999999998</v>
      </c>
      <c r="I59">
        <v>-2.6</v>
      </c>
      <c r="J59">
        <v>-2.2999999999999998</v>
      </c>
    </row>
    <row r="60" spans="1:10" x14ac:dyDescent="0.3">
      <c r="A60" t="s">
        <v>163</v>
      </c>
      <c r="B60">
        <v>-0.3</v>
      </c>
      <c r="C60">
        <v>-0.5</v>
      </c>
      <c r="D60">
        <v>-0.7</v>
      </c>
      <c r="E60">
        <v>-1.2</v>
      </c>
      <c r="F60">
        <v>-0.9</v>
      </c>
      <c r="G60">
        <v>-0.7</v>
      </c>
      <c r="H60">
        <v>-0.6</v>
      </c>
      <c r="I60">
        <v>-2.4</v>
      </c>
      <c r="J60">
        <v>-1.8</v>
      </c>
    </row>
    <row r="61" spans="1:10" x14ac:dyDescent="0.3">
      <c r="A61" t="s">
        <v>186</v>
      </c>
    </row>
    <row r="62" spans="1:10" x14ac:dyDescent="0.3">
      <c r="A62" t="s">
        <v>187</v>
      </c>
      <c r="G62">
        <v>-0.8</v>
      </c>
      <c r="H62">
        <v>-0.8</v>
      </c>
      <c r="I62">
        <v>-0.7</v>
      </c>
      <c r="J62">
        <v>-0.9</v>
      </c>
    </row>
    <row r="63" spans="1:10" x14ac:dyDescent="0.3">
      <c r="A63" t="s">
        <v>188</v>
      </c>
    </row>
    <row r="64" spans="1:10" x14ac:dyDescent="0.3">
      <c r="A64" t="s">
        <v>189</v>
      </c>
      <c r="B64">
        <v>3.2</v>
      </c>
      <c r="C64">
        <v>2.6</v>
      </c>
      <c r="D64">
        <v>3</v>
      </c>
      <c r="E64">
        <v>8.3000000000000007</v>
      </c>
      <c r="F64">
        <v>-3</v>
      </c>
      <c r="G64">
        <v>3.1</v>
      </c>
      <c r="H64">
        <v>14.4</v>
      </c>
      <c r="I64">
        <v>6.1</v>
      </c>
      <c r="J64">
        <v>1.8</v>
      </c>
    </row>
    <row r="65" spans="1:10" x14ac:dyDescent="0.3">
      <c r="A65" t="s">
        <v>190</v>
      </c>
    </row>
    <row r="66" spans="1:10" x14ac:dyDescent="0.3">
      <c r="A66" t="s">
        <v>51</v>
      </c>
      <c r="B66">
        <v>-0.3</v>
      </c>
      <c r="C66">
        <v>-0.4</v>
      </c>
      <c r="D66">
        <v>-2.2999999999999998</v>
      </c>
      <c r="E66">
        <v>-0.5</v>
      </c>
      <c r="F66">
        <v>-0.4</v>
      </c>
      <c r="G66">
        <v>-0.7</v>
      </c>
      <c r="H66">
        <v>-0.7</v>
      </c>
      <c r="I66">
        <v>-0.3</v>
      </c>
      <c r="J66">
        <v>-0.8</v>
      </c>
    </row>
    <row r="67" spans="1:10" x14ac:dyDescent="0.3">
      <c r="A67" t="s">
        <v>191</v>
      </c>
      <c r="B67">
        <v>0.1</v>
      </c>
      <c r="F67">
        <v>0.1</v>
      </c>
      <c r="G67">
        <v>0</v>
      </c>
    </row>
    <row r="68" spans="1:10" x14ac:dyDescent="0.3">
      <c r="A68" t="s">
        <v>192</v>
      </c>
      <c r="B68">
        <v>3</v>
      </c>
      <c r="C68">
        <v>2.2999999999999998</v>
      </c>
      <c r="D68">
        <v>0.7</v>
      </c>
      <c r="E68">
        <v>7.8</v>
      </c>
      <c r="F68">
        <v>-3.3</v>
      </c>
      <c r="G68">
        <v>2.4</v>
      </c>
      <c r="H68">
        <v>13.7</v>
      </c>
      <c r="I68">
        <v>5.8</v>
      </c>
      <c r="J68">
        <v>0.9</v>
      </c>
    </row>
    <row r="69" spans="1:10" x14ac:dyDescent="0.3">
      <c r="A69" t="s">
        <v>193</v>
      </c>
    </row>
    <row r="70" spans="1:10" x14ac:dyDescent="0.3">
      <c r="A70" t="s">
        <v>194</v>
      </c>
      <c r="B70">
        <v>4.4000000000000004</v>
      </c>
      <c r="C70">
        <v>3.9</v>
      </c>
      <c r="D70">
        <v>6.7</v>
      </c>
      <c r="E70">
        <v>12.9</v>
      </c>
      <c r="F70">
        <v>-2.2999999999999998</v>
      </c>
      <c r="G70">
        <v>7.4</v>
      </c>
      <c r="H70">
        <v>22.6</v>
      </c>
      <c r="I70">
        <v>14.6</v>
      </c>
      <c r="J70">
        <v>7.7</v>
      </c>
    </row>
    <row r="71" spans="1:10" x14ac:dyDescent="0.3">
      <c r="A71" t="s">
        <v>195</v>
      </c>
      <c r="B71">
        <v>3.7</v>
      </c>
      <c r="C71">
        <v>2.7</v>
      </c>
      <c r="D71">
        <v>0.9</v>
      </c>
      <c r="E71">
        <v>10</v>
      </c>
      <c r="F71">
        <v>-4</v>
      </c>
      <c r="G71">
        <v>3</v>
      </c>
      <c r="H71">
        <v>17.100000000000001</v>
      </c>
      <c r="I71">
        <v>7.2</v>
      </c>
      <c r="J71">
        <v>1</v>
      </c>
    </row>
    <row r="72" spans="1:10" x14ac:dyDescent="0.3">
      <c r="A72" t="s">
        <v>196</v>
      </c>
      <c r="B72">
        <v>3.9</v>
      </c>
      <c r="C72">
        <v>3.2</v>
      </c>
      <c r="D72">
        <v>4.0999999999999996</v>
      </c>
      <c r="E72">
        <v>10.6</v>
      </c>
      <c r="F72">
        <v>-3.6</v>
      </c>
      <c r="G72">
        <v>3.9</v>
      </c>
      <c r="H72">
        <v>18</v>
      </c>
      <c r="I72">
        <v>7.6</v>
      </c>
      <c r="J72">
        <v>2</v>
      </c>
    </row>
    <row r="73" spans="1:10" x14ac:dyDescent="0.3">
      <c r="A73" t="s">
        <v>197</v>
      </c>
      <c r="B73">
        <v>0.3</v>
      </c>
      <c r="C73">
        <v>0.5</v>
      </c>
      <c r="D73">
        <v>0.9</v>
      </c>
      <c r="E73">
        <v>1.5</v>
      </c>
      <c r="F73">
        <v>1.1000000000000001</v>
      </c>
      <c r="G73">
        <v>0.9</v>
      </c>
      <c r="H73">
        <v>0.8</v>
      </c>
      <c r="I73">
        <v>2.9</v>
      </c>
      <c r="J73">
        <v>2.1</v>
      </c>
    </row>
  </sheetData>
  <sheetProtection algorithmName="SHA-512" hashValue="hyIiU0BacERSicKDfwVBoWo6VTmvXXCNm6ilA66B6hhgOFDGlspuIvoGAUYks2RDRsD7wZnhMbO2kdoa+U4tFw==" saltValue="oZVnhjP9h9pv8pOUHKjN3g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D1BF-557B-48BE-A054-77E8CACF84E6}">
  <sheetPr>
    <tabColor theme="4" tint="0.79998168889431442"/>
  </sheetPr>
  <dimension ref="A1:T77"/>
  <sheetViews>
    <sheetView showGridLines="0" showRowColHeaders="0" tabSelected="1" zoomScale="67" workbookViewId="0">
      <selection activeCell="M35" sqref="M35"/>
    </sheetView>
  </sheetViews>
  <sheetFormatPr defaultColWidth="9.109375" defaultRowHeight="14.4" x14ac:dyDescent="0.3"/>
  <cols>
    <col min="1" max="1" width="2.6640625" style="1" customWidth="1"/>
    <col min="2" max="3" width="12.6640625" style="1" customWidth="1"/>
    <col min="4" max="4" width="14.5546875" style="1" bestFit="1" customWidth="1"/>
    <col min="5" max="5" width="12.6640625" style="8" customWidth="1"/>
    <col min="6" max="9" width="12.6640625" style="1" customWidth="1"/>
    <col min="10" max="10" width="14.33203125" style="1" bestFit="1" customWidth="1"/>
    <col min="11" max="43" width="12.6640625" style="1" customWidth="1"/>
    <col min="44" max="16384" width="9.109375" style="1"/>
  </cols>
  <sheetData>
    <row r="1" spans="1:19" ht="35.4" customHeight="1" x14ac:dyDescent="0.65">
      <c r="B1" s="67" t="s">
        <v>135</v>
      </c>
    </row>
    <row r="2" spans="1:19" s="15" customFormat="1" ht="15" thickBot="1" x14ac:dyDescent="0.35">
      <c r="A2" s="13"/>
      <c r="B2" s="14" t="str">
        <f>UPPER(cover!E8&amp;" - "&amp;DAY(cover!E12)&amp;"/"&amp;MONTH(cover!E12)&amp;"/"&amp;YEAR(cover!E12))</f>
        <v>UP GLOBAL SOURCING HOLDINGS PLC - 19/4/2023</v>
      </c>
      <c r="E2" s="13"/>
    </row>
    <row r="3" spans="1:19" ht="15" thickTop="1" x14ac:dyDescent="0.3">
      <c r="B3" s="25" t="str">
        <f>IF(checks!E10&lt;&gt;0,"**ERROR**","")</f>
        <v/>
      </c>
    </row>
    <row r="4" spans="1:19" s="3" customFormat="1" x14ac:dyDescent="0.3">
      <c r="A4" s="5"/>
      <c r="B4" s="2" t="s">
        <v>113</v>
      </c>
      <c r="E4" s="4"/>
    </row>
    <row r="5" spans="1:19" x14ac:dyDescent="0.3">
      <c r="B5" s="38"/>
    </row>
    <row r="6" spans="1:19" x14ac:dyDescent="0.3">
      <c r="B6" s="2" t="s">
        <v>113</v>
      </c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3">
      <c r="E7" s="1"/>
    </row>
    <row r="8" spans="1:19" x14ac:dyDescent="0.3">
      <c r="B8" s="1" t="s">
        <v>75</v>
      </c>
      <c r="D8" s="59">
        <f>WACC!I25</f>
        <v>0.12398797249276955</v>
      </c>
      <c r="E8" s="1"/>
      <c r="F8" s="47" t="s">
        <v>125</v>
      </c>
      <c r="J8" s="2" t="s">
        <v>89</v>
      </c>
      <c r="K8" s="2"/>
      <c r="L8" s="2"/>
      <c r="N8" s="2" t="s">
        <v>86</v>
      </c>
      <c r="O8" s="2"/>
      <c r="P8" s="2"/>
    </row>
    <row r="9" spans="1:19" x14ac:dyDescent="0.3">
      <c r="B9" s="1" t="s">
        <v>76</v>
      </c>
      <c r="D9" s="59">
        <v>0.02</v>
      </c>
      <c r="E9" s="1"/>
      <c r="F9" s="21" t="s">
        <v>131</v>
      </c>
      <c r="G9" s="21"/>
      <c r="H9" s="58">
        <f>($D$13*$D$12/10^8-SUM($L$10:$L$13))/SUM($M$49)</f>
        <v>8.3425202555025209</v>
      </c>
      <c r="J9" s="1" t="s">
        <v>90</v>
      </c>
      <c r="L9" s="37">
        <f>SUM(E76:L76)</f>
        <v>154.54378241063066</v>
      </c>
      <c r="N9" s="1" t="s">
        <v>88</v>
      </c>
      <c r="P9" s="36">
        <f>WACC!E14</f>
        <v>146.5</v>
      </c>
    </row>
    <row r="10" spans="1:19" x14ac:dyDescent="0.3">
      <c r="B10" s="1" t="s">
        <v>77</v>
      </c>
      <c r="D10" s="16">
        <f>cover!E12</f>
        <v>45035</v>
      </c>
      <c r="E10" s="1"/>
      <c r="F10" s="21" t="s">
        <v>130</v>
      </c>
      <c r="G10" s="21"/>
      <c r="H10" s="58">
        <f>($D$13*$D$12/10^8-SUM($L$10:$L$13))/SUM($N$49)</f>
        <v>8.6898293558291666</v>
      </c>
      <c r="J10" s="1" t="s">
        <v>91</v>
      </c>
      <c r="L10" s="96">
        <f>(-12934+5004-11458-636)/1000</f>
        <v>-20.024000000000001</v>
      </c>
      <c r="N10" s="1" t="s">
        <v>101</v>
      </c>
      <c r="P10" s="36">
        <f>L16-P9</f>
        <v>4.5301264461537301</v>
      </c>
    </row>
    <row r="11" spans="1:19" x14ac:dyDescent="0.3">
      <c r="B11" s="1" t="s">
        <v>98</v>
      </c>
      <c r="D11" s="16">
        <f>cover!E13</f>
        <v>44957</v>
      </c>
      <c r="F11" s="21" t="s">
        <v>129</v>
      </c>
      <c r="G11" s="21"/>
      <c r="H11" s="58">
        <f>($D$13*$D$12/10^8-SUM($L$10:$L$13))/SUM($O$49)</f>
        <v>7.9418135105778234</v>
      </c>
      <c r="J11" s="1" t="s">
        <v>108</v>
      </c>
      <c r="L11" s="96">
        <f>(913)/1000</f>
        <v>0.91300000000000003</v>
      </c>
      <c r="N11" s="1" t="s">
        <v>102</v>
      </c>
      <c r="P11" s="29">
        <f>1-(P9/L16)</f>
        <v>2.9994853031979907E-2</v>
      </c>
    </row>
    <row r="12" spans="1:19" x14ac:dyDescent="0.3">
      <c r="B12" s="1" t="s">
        <v>112</v>
      </c>
      <c r="D12" s="41">
        <f>WACC!E14</f>
        <v>146.5</v>
      </c>
      <c r="F12" s="21" t="s">
        <v>126</v>
      </c>
      <c r="G12" s="47"/>
      <c r="H12" s="58">
        <f>($D$13*$D$12/10^8-SUM($L$10:$L$13))/SUM($M$47)</f>
        <v>7.5401173501278267</v>
      </c>
      <c r="I12" s="53"/>
      <c r="J12" s="1" t="s">
        <v>109</v>
      </c>
      <c r="L12" s="96">
        <f>(-673-494)/1000</f>
        <v>-1.167</v>
      </c>
      <c r="N12" s="1" t="s">
        <v>103</v>
      </c>
      <c r="P12" s="18">
        <f>L16*0.7</f>
        <v>105.7210885123076</v>
      </c>
    </row>
    <row r="13" spans="1:19" x14ac:dyDescent="0.3">
      <c r="B13" s="1" t="s">
        <v>78</v>
      </c>
      <c r="D13" s="60">
        <f>'detailed-financials'!L64*10^6</f>
        <v>88900000</v>
      </c>
      <c r="F13" s="21" t="s">
        <v>128</v>
      </c>
      <c r="G13" s="21"/>
      <c r="H13" s="58">
        <f>($D$13*$D$12/10^8-SUM($L$10:$L$13))/SUM($N$47)</f>
        <v>7.8568250256664003</v>
      </c>
      <c r="J13" s="1" t="s">
        <v>111</v>
      </c>
      <c r="L13" s="64"/>
    </row>
    <row r="14" spans="1:19" x14ac:dyDescent="0.3">
      <c r="B14" s="38"/>
      <c r="F14" s="21" t="s">
        <v>127</v>
      </c>
      <c r="G14" s="21"/>
      <c r="H14" s="58">
        <f>($D$13*$D$12/10^8-SUM($L$10:$L$13))/SUM($O$47)</f>
        <v>7.2496857163167485</v>
      </c>
      <c r="J14" s="38" t="s">
        <v>92</v>
      </c>
      <c r="K14" s="38"/>
      <c r="L14" s="39">
        <f>SUM(L9:L13)</f>
        <v>134.26578241063066</v>
      </c>
    </row>
    <row r="15" spans="1:19" x14ac:dyDescent="0.3">
      <c r="B15" s="38" t="s">
        <v>122</v>
      </c>
      <c r="D15" s="54">
        <f>summary!P9</f>
        <v>146.5</v>
      </c>
      <c r="E15" s="1"/>
      <c r="F15" s="21" t="s">
        <v>132</v>
      </c>
      <c r="G15" s="21"/>
      <c r="H15" s="58">
        <f>($D$13*$D$12/10^8)/SUM($M$51:$M$51)</f>
        <v>9.7906849628968384</v>
      </c>
    </row>
    <row r="16" spans="1:19" x14ac:dyDescent="0.3">
      <c r="B16" s="38" t="s">
        <v>124</v>
      </c>
      <c r="D16" s="54">
        <f>summary!L16</f>
        <v>151.03012644615373</v>
      </c>
      <c r="E16" s="1"/>
      <c r="F16" s="21" t="s">
        <v>133</v>
      </c>
      <c r="G16" s="21"/>
      <c r="H16" s="58">
        <f>($D$13*$D$12/10^8)/SUM($N$51)</f>
        <v>10.901739494767018</v>
      </c>
      <c r="J16" s="1" t="s">
        <v>93</v>
      </c>
      <c r="L16" s="19">
        <f>L14/D13*10^8</f>
        <v>151.03012644615373</v>
      </c>
    </row>
    <row r="17" spans="2:19" x14ac:dyDescent="0.3">
      <c r="B17" s="47" t="s">
        <v>121</v>
      </c>
      <c r="D17" s="55">
        <f>1-D15/D16</f>
        <v>2.9994853031979907E-2</v>
      </c>
      <c r="E17" s="1"/>
      <c r="F17" s="21" t="s">
        <v>134</v>
      </c>
      <c r="G17" s="21"/>
      <c r="H17" s="58">
        <f>($D$13*$D$12/10^8)/SUM($O$51)</f>
        <v>9.8889232473912987</v>
      </c>
    </row>
    <row r="18" spans="2:19" x14ac:dyDescent="0.3">
      <c r="B18" s="38"/>
    </row>
    <row r="19" spans="2:19" x14ac:dyDescent="0.3">
      <c r="B19" s="1" t="s">
        <v>15</v>
      </c>
      <c r="E19" s="16">
        <f>'detailed-financials'!E6</f>
        <v>42216</v>
      </c>
      <c r="F19" s="16">
        <f>'detailed-financials'!F6</f>
        <v>42582</v>
      </c>
      <c r="G19" s="16">
        <f>'detailed-financials'!G6</f>
        <v>42947</v>
      </c>
      <c r="H19" s="16">
        <f>'detailed-financials'!H6</f>
        <v>43312</v>
      </c>
      <c r="I19" s="16">
        <f>'detailed-financials'!I6</f>
        <v>43677</v>
      </c>
      <c r="J19" s="16">
        <f>'detailed-financials'!J6</f>
        <v>44043</v>
      </c>
      <c r="K19" s="16">
        <f>'detailed-financials'!K6</f>
        <v>44408</v>
      </c>
      <c r="L19" s="16">
        <f>'detailed-financials'!L6</f>
        <v>44773</v>
      </c>
      <c r="M19" s="16">
        <f>'detailed-financials'!M6</f>
        <v>45138</v>
      </c>
      <c r="N19" s="16">
        <f>'detailed-financials'!N6</f>
        <v>45504</v>
      </c>
      <c r="O19" s="16">
        <f>'detailed-financials'!O6</f>
        <v>45869</v>
      </c>
      <c r="P19" s="16">
        <f>'detailed-financials'!P6</f>
        <v>46234</v>
      </c>
      <c r="Q19" s="16">
        <f>'detailed-financials'!Q6</f>
        <v>46599</v>
      </c>
      <c r="R19" s="16">
        <f>'detailed-financials'!R6</f>
        <v>46965</v>
      </c>
      <c r="S19" s="16">
        <f>'detailed-financials'!S6</f>
        <v>47330</v>
      </c>
    </row>
    <row r="20" spans="2:19" x14ac:dyDescent="0.3">
      <c r="B20" s="1" t="s">
        <v>43</v>
      </c>
      <c r="E20" s="1">
        <f>'detailed-financials'!E7</f>
        <v>12</v>
      </c>
      <c r="F20" s="1">
        <f>'detailed-financials'!F7</f>
        <v>12</v>
      </c>
      <c r="G20" s="1">
        <f>'detailed-financials'!G7</f>
        <v>12</v>
      </c>
      <c r="H20" s="1">
        <f>'detailed-financials'!H7</f>
        <v>12</v>
      </c>
      <c r="I20" s="1">
        <f>'detailed-financials'!I7</f>
        <v>12</v>
      </c>
      <c r="J20" s="1">
        <f>'detailed-financials'!J7</f>
        <v>12</v>
      </c>
      <c r="K20" s="1">
        <f>'detailed-financials'!K7</f>
        <v>12</v>
      </c>
      <c r="L20" s="1">
        <f>'detailed-financials'!L7</f>
        <v>12</v>
      </c>
      <c r="M20" s="1">
        <f>'detailed-financials'!M7</f>
        <v>12</v>
      </c>
      <c r="N20" s="1">
        <f>'detailed-financials'!N7</f>
        <v>12</v>
      </c>
      <c r="O20" s="1">
        <f>'detailed-financials'!O7</f>
        <v>12</v>
      </c>
      <c r="P20" s="1">
        <f>'detailed-financials'!P7</f>
        <v>12</v>
      </c>
      <c r="Q20" s="1">
        <f>'detailed-financials'!Q7</f>
        <v>12</v>
      </c>
      <c r="R20" s="1">
        <f>'detailed-financials'!R7</f>
        <v>12</v>
      </c>
      <c r="S20" s="1">
        <f>'detailed-financials'!S7</f>
        <v>12</v>
      </c>
    </row>
    <row r="21" spans="2:19" x14ac:dyDescent="0.3">
      <c r="B21" s="38"/>
    </row>
    <row r="22" spans="2:19" x14ac:dyDescent="0.3">
      <c r="B22" s="2" t="s">
        <v>136</v>
      </c>
      <c r="C22" s="3"/>
      <c r="D22" s="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  <c r="Q22" s="5"/>
      <c r="R22" s="5"/>
      <c r="S22" s="5"/>
    </row>
    <row r="23" spans="2:19" x14ac:dyDescent="0.3">
      <c r="F23" s="8"/>
    </row>
    <row r="24" spans="2:19" x14ac:dyDescent="0.3">
      <c r="B24" s="1" t="s">
        <v>53</v>
      </c>
      <c r="E24" s="46"/>
      <c r="F24" s="46">
        <f>('detailed-financials'!F49*(12/'detailed-financials'!F$7))/'detailed-financials'!E49-1</f>
        <v>2.8645833333333481E-2</v>
      </c>
      <c r="G24" s="46">
        <f>('detailed-financials'!G49*(12/'detailed-financials'!G$7))/'detailed-financials'!F49-1</f>
        <v>0.39240506329113933</v>
      </c>
      <c r="H24" s="46">
        <f>('detailed-financials'!H49*(12/'detailed-financials'!H$7))/'detailed-financials'!G49-1</f>
        <v>-0.20363636363636373</v>
      </c>
      <c r="I24" s="46">
        <f>('detailed-financials'!I49*(12/'detailed-financials'!I$7))/'detailed-financials'!H49-1</f>
        <v>0.40753424657534243</v>
      </c>
      <c r="J24" s="46">
        <f>('detailed-financials'!J49*(12/'detailed-financials'!J$7))/'detailed-financials'!I49-1</f>
        <v>-6.1638280616382768E-2</v>
      </c>
      <c r="K24" s="46">
        <f>('detailed-financials'!K49*(12/'detailed-financials'!K$7))/'detailed-financials'!J49-1</f>
        <v>0.17891097666378575</v>
      </c>
      <c r="L24" s="46">
        <f>('detailed-financials'!L49*(12/'detailed-financials'!L$7))/'detailed-financials'!K49-1</f>
        <v>0.13049853372434006</v>
      </c>
      <c r="M24" s="61">
        <f>forecasts!C2</f>
        <v>6.8099999999999994E-2</v>
      </c>
      <c r="N24" s="61">
        <f>forecasts!E2</f>
        <v>6.3899999999999998E-2</v>
      </c>
      <c r="O24" s="61">
        <f>forecasts!G2</f>
        <v>5.6099999999999997E-2</v>
      </c>
      <c r="P24" s="61">
        <v>0.05</v>
      </c>
      <c r="Q24" s="61">
        <v>0.04</v>
      </c>
      <c r="R24" s="61">
        <v>0.03</v>
      </c>
      <c r="S24" s="61">
        <v>0.02</v>
      </c>
    </row>
    <row r="25" spans="2:19" x14ac:dyDescent="0.3">
      <c r="B25" s="1" t="s">
        <v>283</v>
      </c>
      <c r="E25" s="46"/>
      <c r="F25" s="46"/>
      <c r="G25" s="46"/>
      <c r="H25" s="46"/>
      <c r="I25" s="46"/>
      <c r="J25" s="46">
        <f>('detailed-financials'!J49/'detailed-financials'!E49)^(1/5)-1</f>
        <v>8.5411522843435339E-2</v>
      </c>
      <c r="K25" s="46">
        <f>('detailed-financials'!K49/'detailed-financials'!F49)^(1/5)-1</f>
        <v>0.11541750479569668</v>
      </c>
      <c r="L25" s="46">
        <f>('detailed-financials'!L49/'detailed-financials'!G49)^(1/5)-1</f>
        <v>6.9888052391704036E-2</v>
      </c>
      <c r="M25" s="76">
        <f>('detailed-financials'!M49/'detailed-financials'!H49)^(1/5)-1</f>
        <v>0.13458865468046932</v>
      </c>
      <c r="N25" s="76">
        <f>('detailed-financials'!N49/'detailed-financials'!I49)^(1/5)-1</f>
        <v>7.2819859146350474E-2</v>
      </c>
      <c r="O25" s="76">
        <f>('detailed-financials'!O49/'detailed-financials'!J49)^(1/5)-1</f>
        <v>9.8484052343428496E-2</v>
      </c>
      <c r="P25" s="76">
        <f>('detailed-financials'!P49/'detailed-financials'!K49)^(1/5)-1</f>
        <v>7.333530265971655E-2</v>
      </c>
      <c r="Q25" s="76">
        <f>('detailed-financials'!Q49/'detailed-financials'!L49)^(1/5)-1</f>
        <v>5.557253311998922E-2</v>
      </c>
      <c r="R25" s="76">
        <f>('detailed-financials'!R49/'detailed-financials'!M49)^(1/5)-1</f>
        <v>4.7932097957999353E-2</v>
      </c>
      <c r="S25" s="76">
        <f>('detailed-financials'!S49/'detailed-financials'!N49)^(1/5)-1</f>
        <v>3.9137494573379783E-2</v>
      </c>
    </row>
    <row r="26" spans="2:19" x14ac:dyDescent="0.3">
      <c r="B26" s="1" t="s">
        <v>300</v>
      </c>
      <c r="E26" s="46">
        <f>'detailed-financials'!E51/'detailed-financials'!E49</f>
        <v>0.26171874999999994</v>
      </c>
      <c r="F26" s="46">
        <f>'detailed-financials'!F51/'detailed-financials'!F49</f>
        <v>0.23924050632911389</v>
      </c>
      <c r="G26" s="46">
        <f>'detailed-financials'!G51/'detailed-financials'!G49</f>
        <v>0.22363636363636358</v>
      </c>
      <c r="H26" s="46">
        <f>'detailed-financials'!H51/'detailed-financials'!H49</f>
        <v>0.22374429223744288</v>
      </c>
      <c r="I26" s="46">
        <f>'detailed-financials'!I51/'detailed-financials'!I49</f>
        <v>0.2214111922141119</v>
      </c>
      <c r="J26" s="46">
        <f>'detailed-financials'!J51/'detailed-financials'!J49</f>
        <v>0.22990492653414007</v>
      </c>
      <c r="K26" s="46">
        <f>'detailed-financials'!K51/'detailed-financials'!K49</f>
        <v>0.22214076246334319</v>
      </c>
      <c r="L26" s="46">
        <f>'detailed-financials'!L51/'detailed-financials'!L49</f>
        <v>0.24902723735408558</v>
      </c>
      <c r="M26" s="61">
        <v>0.247</v>
      </c>
      <c r="N26" s="61">
        <f>AVERAGE(E26:K26)</f>
        <v>0.23168525620207367</v>
      </c>
      <c r="O26" s="61">
        <f>N26</f>
        <v>0.23168525620207367</v>
      </c>
      <c r="P26" s="61">
        <f t="shared" ref="P26:S26" si="0">O26</f>
        <v>0.23168525620207367</v>
      </c>
      <c r="Q26" s="61">
        <f t="shared" si="0"/>
        <v>0.23168525620207367</v>
      </c>
      <c r="R26" s="61">
        <f t="shared" si="0"/>
        <v>0.23168525620207367</v>
      </c>
      <c r="S26" s="61">
        <f t="shared" si="0"/>
        <v>0.23168525620207367</v>
      </c>
    </row>
    <row r="27" spans="2:19" x14ac:dyDescent="0.3">
      <c r="B27" s="1" t="s">
        <v>301</v>
      </c>
      <c r="E27" s="46"/>
      <c r="F27" s="46">
        <f>-('detailed-financials'!F52-'detailed-financials'!$E$52)/('detailed-financials'!F49-'detailed-financials'!$E$49)</f>
        <v>-1.8181818181818135</v>
      </c>
      <c r="G27" s="46">
        <f>-('detailed-financials'!G52-'detailed-financials'!$E$52)/('detailed-financials'!G49-'detailed-financials'!$E$49)</f>
        <v>-4.8192771084337338E-2</v>
      </c>
      <c r="H27" s="46">
        <f>-('detailed-financials'!H52-'detailed-financials'!$E$52)/('detailed-financials'!H49-'detailed-financials'!$E$49)</f>
        <v>-0.12962962962962971</v>
      </c>
      <c r="I27" s="46">
        <f>-('detailed-financials'!I52-'detailed-financials'!$E$52)/('detailed-financials'!I49-'detailed-financials'!$E$49)</f>
        <v>4.731182795698935E-2</v>
      </c>
      <c r="J27" s="46">
        <f>-('detailed-financials'!J52-'detailed-financials'!$E$52)/('detailed-financials'!J49-'detailed-financials'!$E$49)</f>
        <v>4.6272493573265114E-2</v>
      </c>
      <c r="K27" s="46">
        <f>-('detailed-financials'!K52-'detailed-financials'!$E$52)/('detailed-financials'!K49-'detailed-financials'!$E$49)</f>
        <v>6.5436241610738549E-2</v>
      </c>
      <c r="L27" s="46">
        <f>-('detailed-financials'!L52-'detailed-financials'!$E$52)/('detailed-financials'!L49-'detailed-financials'!$E$49)</f>
        <v>6.8475452196382416E-2</v>
      </c>
      <c r="M27" s="61">
        <f>L27</f>
        <v>6.8475452196382416E-2</v>
      </c>
      <c r="N27" s="61">
        <f t="shared" ref="N27:R27" si="1">M27</f>
        <v>6.8475452196382416E-2</v>
      </c>
      <c r="O27" s="61">
        <f t="shared" si="1"/>
        <v>6.8475452196382416E-2</v>
      </c>
      <c r="P27" s="61">
        <f t="shared" si="1"/>
        <v>6.8475452196382416E-2</v>
      </c>
      <c r="Q27" s="61">
        <f t="shared" si="1"/>
        <v>6.8475452196382416E-2</v>
      </c>
      <c r="R27" s="61">
        <f t="shared" si="1"/>
        <v>6.8475452196382416E-2</v>
      </c>
      <c r="S27" s="61">
        <f>R27</f>
        <v>6.8475452196382416E-2</v>
      </c>
    </row>
    <row r="28" spans="2:19" x14ac:dyDescent="0.3">
      <c r="B28" s="1" t="s">
        <v>302</v>
      </c>
      <c r="E28" s="46"/>
      <c r="F28" s="46">
        <f>-'detailed-financials'!F55/('detailed-financials'!E19)</f>
        <v>0.49999999999999972</v>
      </c>
      <c r="G28" s="46">
        <f>-'detailed-financials'!G55/('detailed-financials'!F19)</f>
        <v>0.40000000000000036</v>
      </c>
      <c r="H28" s="46">
        <f>-'detailed-financials'!H55/('detailed-financials'!G19)</f>
        <v>0.29411764705882354</v>
      </c>
      <c r="I28" s="46">
        <f>-'detailed-financials'!I55/('detailed-financials'!H19)</f>
        <v>0.29411764705882354</v>
      </c>
      <c r="J28" s="46">
        <f>-'detailed-financials'!J55/('detailed-financials'!I19)</f>
        <v>0.3</v>
      </c>
      <c r="K28" s="46">
        <f>-'detailed-financials'!K55/('detailed-financials'!J19)</f>
        <v>0.3333333333333332</v>
      </c>
      <c r="L28" s="46">
        <f>-'detailed-financials'!L55/('detailed-financials'!K19)</f>
        <v>0.36842105263157854</v>
      </c>
      <c r="M28" s="61">
        <v>0.3</v>
      </c>
      <c r="N28" s="61">
        <f>M28</f>
        <v>0.3</v>
      </c>
      <c r="O28" s="61">
        <f t="shared" ref="O28:S28" si="2">N28</f>
        <v>0.3</v>
      </c>
      <c r="P28" s="61">
        <f t="shared" si="2"/>
        <v>0.3</v>
      </c>
      <c r="Q28" s="61">
        <f t="shared" si="2"/>
        <v>0.3</v>
      </c>
      <c r="R28" s="61">
        <f t="shared" si="2"/>
        <v>0.3</v>
      </c>
      <c r="S28" s="61">
        <f t="shared" si="2"/>
        <v>0.3</v>
      </c>
    </row>
    <row r="29" spans="2:19" x14ac:dyDescent="0.3">
      <c r="B29" s="1" t="s">
        <v>284</v>
      </c>
      <c r="E29" s="46"/>
      <c r="F29" s="46">
        <f>-'detailed-financials'!F57/SUM('detailed-financials'!E28:F28,'detailed-financials'!E26:F26)*2</f>
        <v>5.1282051282051287E-2</v>
      </c>
      <c r="G29" s="46">
        <f>-'detailed-financials'!G57/SUM('detailed-financials'!F28:G28,'detailed-financials'!F26:G26)*2</f>
        <v>6.2893081761006289E-2</v>
      </c>
      <c r="H29" s="46">
        <f>-'detailed-financials'!H57/SUM('detailed-financials'!G28:H28,'detailed-financials'!G26:H26)*2</f>
        <v>3.6036036036036036E-2</v>
      </c>
      <c r="I29" s="46">
        <f>-'detailed-financials'!I57/SUM('detailed-financials'!H28:I28,'detailed-financials'!H26:I26)*2</f>
        <v>4.651162790697675E-2</v>
      </c>
      <c r="J29" s="46">
        <f>-'detailed-financials'!J57/SUM('detailed-financials'!I28:J28,'detailed-financials'!I26:J26)*2</f>
        <v>6.25E-2</v>
      </c>
      <c r="K29" s="46">
        <f>-'detailed-financials'!K57/SUM('detailed-financials'!J28:K28,'detailed-financials'!J26:K26)*2</f>
        <v>3.4364261168384883E-2</v>
      </c>
      <c r="L29" s="46">
        <f>-'detailed-financials'!L57/SUM('detailed-financials'!K28:L28,'detailed-financials'!K26:L26)*2</f>
        <v>3.2846715328467155E-2</v>
      </c>
      <c r="M29" s="61">
        <f>761*2/((12934+20091+11458+10239)/2)</f>
        <v>5.5626621833997296E-2</v>
      </c>
      <c r="N29" s="61">
        <f>M29</f>
        <v>5.5626621833997296E-2</v>
      </c>
      <c r="O29" s="61">
        <f>N29</f>
        <v>5.5626621833997296E-2</v>
      </c>
      <c r="P29" s="61">
        <f>O29</f>
        <v>5.5626621833997296E-2</v>
      </c>
      <c r="Q29" s="61">
        <f>P29</f>
        <v>5.5626621833997296E-2</v>
      </c>
      <c r="R29" s="61">
        <f>Q29</f>
        <v>5.5626621833997296E-2</v>
      </c>
      <c r="S29" s="61">
        <f>R29</f>
        <v>5.5626621833997296E-2</v>
      </c>
    </row>
    <row r="30" spans="2:19" x14ac:dyDescent="0.3">
      <c r="B30" s="1" t="s">
        <v>54</v>
      </c>
      <c r="E30" s="46">
        <f>-'detailed-financials'!E59/'detailed-financials'!E58</f>
        <v>0.18181818181818182</v>
      </c>
      <c r="F30" s="46">
        <f>-'detailed-financials'!F59/'detailed-financials'!F58</f>
        <v>0.22222222222222221</v>
      </c>
      <c r="G30" s="46">
        <f>-'detailed-financials'!G59/'detailed-financials'!G58</f>
        <v>0.25675675675675674</v>
      </c>
      <c r="H30" s="46">
        <f>-'detailed-financials'!H59/'detailed-financials'!H58</f>
        <v>0.20370370370370375</v>
      </c>
      <c r="I30" s="46">
        <f>-'detailed-financials'!I59/'detailed-financials'!I58</f>
        <v>0.20987654320987656</v>
      </c>
      <c r="J30" s="46">
        <f>-'detailed-financials'!J59/'detailed-financials'!J58</f>
        <v>0.20481927710843376</v>
      </c>
      <c r="K30" s="46">
        <f>-'detailed-financials'!K59/'detailed-financials'!K58</f>
        <v>0.23157894736842108</v>
      </c>
      <c r="L30" s="46">
        <f>-'detailed-financials'!L59/'detailed-financials'!L58</f>
        <v>0.20129870129870131</v>
      </c>
      <c r="M30" s="61">
        <v>0.19</v>
      </c>
      <c r="N30" s="61">
        <v>0.25</v>
      </c>
      <c r="O30" s="61">
        <v>0.25</v>
      </c>
      <c r="P30" s="61">
        <v>0.25</v>
      </c>
      <c r="Q30" s="61">
        <v>0.25</v>
      </c>
      <c r="R30" s="61">
        <v>0.25</v>
      </c>
      <c r="S30" s="61">
        <v>0.25</v>
      </c>
    </row>
    <row r="31" spans="2:19" x14ac:dyDescent="0.3">
      <c r="B31" s="1" t="s">
        <v>55</v>
      </c>
      <c r="E31" s="73">
        <f>'detailed-financials'!E13/'detailed-financials'!E49*365</f>
        <v>88.873697916666671</v>
      </c>
      <c r="F31" s="73">
        <f>'detailed-financials'!F13/'detailed-financials'!F49*365</f>
        <v>123.82278481012658</v>
      </c>
      <c r="G31" s="73">
        <f>'detailed-financials'!G13/'detailed-financials'!G49*365</f>
        <v>77.313636363636348</v>
      </c>
      <c r="H31" s="73">
        <f>'detailed-financials'!H13/'detailed-financials'!H49*365</f>
        <v>130</v>
      </c>
      <c r="I31" s="73">
        <f>'detailed-financials'!I13/'detailed-financials'!I49*365</f>
        <v>115.74614760746149</v>
      </c>
      <c r="J31" s="73">
        <f>'detailed-financials'!J13/'detailed-financials'!J49*365</f>
        <v>108.83751080380294</v>
      </c>
      <c r="K31" s="73">
        <f>'detailed-financials'!K13/'detailed-financials'!K49*365</f>
        <v>129.24853372434015</v>
      </c>
      <c r="L31" s="73">
        <f>'detailed-financials'!L13/'detailed-financials'!L49*365</f>
        <v>145.337224383917</v>
      </c>
      <c r="M31" s="62">
        <f>AVERAGE(H31:L31)</f>
        <v>125.83388330390433</v>
      </c>
      <c r="N31" s="62">
        <f t="shared" ref="N31:S33" si="3">M31</f>
        <v>125.83388330390433</v>
      </c>
      <c r="O31" s="62">
        <f t="shared" si="3"/>
        <v>125.83388330390433</v>
      </c>
      <c r="P31" s="62">
        <f t="shared" si="3"/>
        <v>125.83388330390433</v>
      </c>
      <c r="Q31" s="62">
        <f t="shared" si="3"/>
        <v>125.83388330390433</v>
      </c>
      <c r="R31" s="62">
        <f t="shared" si="3"/>
        <v>125.83388330390433</v>
      </c>
      <c r="S31" s="62">
        <f t="shared" si="3"/>
        <v>125.83388330390433</v>
      </c>
    </row>
    <row r="32" spans="2:19" x14ac:dyDescent="0.3">
      <c r="B32" s="1" t="s">
        <v>56</v>
      </c>
      <c r="E32" s="73">
        <f>-'detailed-financials'!E24/'detailed-financials'!E52*365</f>
        <v>248.29931972789126</v>
      </c>
      <c r="F32" s="73">
        <f>-'detailed-financials'!F24/'detailed-financials'!F52*365</f>
        <v>525.3271028037384</v>
      </c>
      <c r="G32" s="73">
        <f>-'detailed-financials'!G24/'detailed-financials'!G52*365</f>
        <v>334.35114503816811</v>
      </c>
      <c r="H32" s="73">
        <f>-'detailed-financials'!H24/'detailed-financials'!H52*365</f>
        <v>337.55639097744375</v>
      </c>
      <c r="I32" s="73">
        <f>-'detailed-financials'!I24/'detailed-financials'!I52*365</f>
        <v>323.96449704142009</v>
      </c>
      <c r="J32" s="73">
        <f>-'detailed-financials'!J24/'detailed-financials'!J52*365</f>
        <v>407.03030303030283</v>
      </c>
      <c r="K32" s="73">
        <f>-'detailed-financials'!K24/'detailed-financials'!K52*365</f>
        <v>573.01075268817169</v>
      </c>
      <c r="L32" s="73">
        <f>-'detailed-financials'!L24/'detailed-financials'!L52*365</f>
        <v>531.07500000000016</v>
      </c>
      <c r="M32" s="62">
        <f>AVERAGE(H32:L32)</f>
        <v>434.52738874746774</v>
      </c>
      <c r="N32" s="62">
        <f t="shared" si="3"/>
        <v>434.52738874746774</v>
      </c>
      <c r="O32" s="62">
        <f t="shared" si="3"/>
        <v>434.52738874746774</v>
      </c>
      <c r="P32" s="62">
        <f t="shared" si="3"/>
        <v>434.52738874746774</v>
      </c>
      <c r="Q32" s="62">
        <f t="shared" si="3"/>
        <v>434.52738874746774</v>
      </c>
      <c r="R32" s="62">
        <f t="shared" si="3"/>
        <v>434.52738874746774</v>
      </c>
      <c r="S32" s="62">
        <f t="shared" si="3"/>
        <v>434.52738874746774</v>
      </c>
    </row>
    <row r="33" spans="2:20" x14ac:dyDescent="0.3">
      <c r="B33" s="1" t="s">
        <v>285</v>
      </c>
      <c r="E33" s="73">
        <f>('detailed-financials'!E28+'detailed-financials'!E26)</f>
        <v>5.6</v>
      </c>
      <c r="F33" s="73">
        <f>('detailed-financials'!F28+'detailed-financials'!F26)</f>
        <v>10</v>
      </c>
      <c r="G33" s="73">
        <f>('detailed-financials'!G28+'detailed-financials'!G26)</f>
        <v>5.9</v>
      </c>
      <c r="H33" s="73">
        <f>('detailed-financials'!H28+'detailed-financials'!H26)</f>
        <v>16.3</v>
      </c>
      <c r="I33" s="73">
        <f>('detailed-financials'!I28+'detailed-financials'!I26)</f>
        <v>18.100000000000001</v>
      </c>
      <c r="J33" s="73">
        <f>('detailed-financials'!J28+'detailed-financials'!J26)</f>
        <v>7.5</v>
      </c>
      <c r="K33" s="73">
        <f>('detailed-financials'!K28+'detailed-financials'!K26)</f>
        <v>21.6</v>
      </c>
      <c r="L33" s="73">
        <f>('detailed-financials'!L28+'detailed-financials'!L26)</f>
        <v>33.200000000000003</v>
      </c>
      <c r="M33" s="75">
        <f>-(-12934-11458-636)/1000</f>
        <v>25.027999999999999</v>
      </c>
      <c r="N33" s="75">
        <f>M33</f>
        <v>25.027999999999999</v>
      </c>
      <c r="O33" s="75">
        <f>N33</f>
        <v>25.027999999999999</v>
      </c>
      <c r="P33" s="75">
        <f>O33</f>
        <v>25.027999999999999</v>
      </c>
      <c r="Q33" s="75">
        <f t="shared" si="3"/>
        <v>25.027999999999999</v>
      </c>
      <c r="R33" s="75">
        <f t="shared" si="3"/>
        <v>25.027999999999999</v>
      </c>
      <c r="S33" s="75">
        <f t="shared" si="3"/>
        <v>25.027999999999999</v>
      </c>
    </row>
    <row r="34" spans="2:20" x14ac:dyDescent="0.3">
      <c r="B34" s="1" t="s">
        <v>286</v>
      </c>
      <c r="E34" s="73">
        <f>'detailed-financials'!E12</f>
        <v>0.1</v>
      </c>
      <c r="F34" s="73">
        <f>'detailed-financials'!F12</f>
        <v>0.1</v>
      </c>
      <c r="G34" s="73">
        <f>'detailed-financials'!G12</f>
        <v>0.1</v>
      </c>
      <c r="H34" s="73">
        <f>'detailed-financials'!H12</f>
        <v>0.1</v>
      </c>
      <c r="I34" s="73">
        <f>'detailed-financials'!I12</f>
        <v>0.1</v>
      </c>
      <c r="J34" s="73">
        <f>'detailed-financials'!J12</f>
        <v>0.3</v>
      </c>
      <c r="K34" s="73">
        <f>'detailed-financials'!K12</f>
        <v>0.1</v>
      </c>
      <c r="L34" s="73">
        <f>'detailed-financials'!L12</f>
        <v>6.2</v>
      </c>
      <c r="M34" s="74">
        <f>'detailed-financials'!M12</f>
        <v>5.042745451897737</v>
      </c>
      <c r="N34" s="74">
        <f>'detailed-financials'!N12</f>
        <v>8.3358085947442948</v>
      </c>
      <c r="O34" s="74">
        <f>'detailed-financials'!O12</f>
        <v>12.298395336181164</v>
      </c>
      <c r="P34" s="74">
        <f>'detailed-financials'!P12</f>
        <v>16.893594150450589</v>
      </c>
      <c r="Q34" s="74">
        <f>'detailed-financials'!Q12</f>
        <v>22.298596559934794</v>
      </c>
      <c r="R34" s="74">
        <f>'detailed-financials'!R12</f>
        <v>28.494157181357437</v>
      </c>
      <c r="S34" s="74">
        <f>'detailed-financials'!S12</f>
        <v>35.43524661314401</v>
      </c>
    </row>
    <row r="35" spans="2:20" x14ac:dyDescent="0.3">
      <c r="B35" s="1" t="s">
        <v>57</v>
      </c>
      <c r="E35" s="46">
        <f>-'detailed-financials'!E89/'detailed-financials'!E60</f>
        <v>0</v>
      </c>
      <c r="F35" s="46">
        <f>-'detailed-financials'!F89/'detailed-financials'!F60</f>
        <v>0</v>
      </c>
      <c r="G35" s="46">
        <f>-'detailed-financials'!G89/'detailed-financials'!G60</f>
        <v>0.69090909090909092</v>
      </c>
      <c r="H35" s="46">
        <f>-'detailed-financials'!H89/'detailed-financials'!H60</f>
        <v>0.83720930232558166</v>
      </c>
      <c r="I35" s="46">
        <f>-'detailed-financials'!I89/'detailed-financials'!I60</f>
        <v>0.375</v>
      </c>
      <c r="J35" s="46">
        <f>-'detailed-financials'!J89/'detailed-financials'!J60</f>
        <v>0.34848484848484851</v>
      </c>
      <c r="K35" s="46">
        <f>-'detailed-financials'!K89/'detailed-financials'!K60</f>
        <v>0.60273972602739734</v>
      </c>
      <c r="L35" s="46">
        <f>-'detailed-financials'!L89/'detailed-financials'!L60</f>
        <v>0.39024390243902435</v>
      </c>
      <c r="M35" s="63">
        <v>0.5</v>
      </c>
      <c r="N35" s="61">
        <f>M35</f>
        <v>0.5</v>
      </c>
      <c r="O35" s="61">
        <f t="shared" ref="O35:S35" si="4">N35</f>
        <v>0.5</v>
      </c>
      <c r="P35" s="61">
        <f t="shared" si="4"/>
        <v>0.5</v>
      </c>
      <c r="Q35" s="61">
        <f t="shared" si="4"/>
        <v>0.5</v>
      </c>
      <c r="R35" s="61">
        <f t="shared" si="4"/>
        <v>0.5</v>
      </c>
      <c r="S35" s="61">
        <f t="shared" si="4"/>
        <v>0.5</v>
      </c>
    </row>
    <row r="36" spans="2:20" x14ac:dyDescent="0.3">
      <c r="B36" s="1" t="s">
        <v>58</v>
      </c>
      <c r="E36" s="73">
        <f>-SUM('detailed-financials'!E78)</f>
        <v>0.5</v>
      </c>
      <c r="F36" s="73">
        <f>-SUM('detailed-financials'!F78)</f>
        <v>0.7</v>
      </c>
      <c r="G36" s="73">
        <f>-SUM('detailed-financials'!G78)</f>
        <v>1.2</v>
      </c>
      <c r="H36" s="73">
        <f>-SUM('detailed-financials'!H78)</f>
        <v>0.9</v>
      </c>
      <c r="I36" s="73">
        <f>-SUM('detailed-financials'!I78)</f>
        <v>0.7</v>
      </c>
      <c r="J36" s="73">
        <f>-SUM('detailed-financials'!J78)</f>
        <v>0.6</v>
      </c>
      <c r="K36" s="73">
        <f>-SUM('detailed-financials'!K78)</f>
        <v>2.4</v>
      </c>
      <c r="L36" s="73">
        <f>-SUM('detailed-financials'!L78)</f>
        <v>1.8</v>
      </c>
      <c r="M36" s="62">
        <f t="shared" ref="M36:S36" si="5">AVERAGE($E$36:$L$36)/AVERAGE($E$43:$L$43)*M43</f>
        <v>1.6414144688561723</v>
      </c>
      <c r="N36" s="62">
        <f t="shared" si="5"/>
        <v>1.746300853416082</v>
      </c>
      <c r="O36" s="62">
        <f t="shared" si="5"/>
        <v>1.8442683312927242</v>
      </c>
      <c r="P36" s="62">
        <f t="shared" si="5"/>
        <v>1.9364817478573606</v>
      </c>
      <c r="Q36" s="62">
        <f t="shared" si="5"/>
        <v>2.0139410177716552</v>
      </c>
      <c r="R36" s="62">
        <f t="shared" si="5"/>
        <v>2.074359248304805</v>
      </c>
      <c r="S36" s="62">
        <f t="shared" si="5"/>
        <v>2.1158464332709008</v>
      </c>
    </row>
    <row r="37" spans="2:20" x14ac:dyDescent="0.3">
      <c r="B37" s="1" t="s">
        <v>303</v>
      </c>
      <c r="E37" s="73">
        <f>-'detailed-financials'!E80</f>
        <v>0</v>
      </c>
      <c r="F37" s="73">
        <f>-'detailed-financials'!F80</f>
        <v>0</v>
      </c>
      <c r="G37" s="73">
        <f>-'detailed-financials'!G80</f>
        <v>0</v>
      </c>
      <c r="H37" s="73">
        <f>-'detailed-financials'!H80</f>
        <v>0</v>
      </c>
      <c r="I37" s="73">
        <f>-'detailed-financials'!I80</f>
        <v>0</v>
      </c>
      <c r="J37" s="73">
        <f>-'detailed-financials'!J80</f>
        <v>0</v>
      </c>
      <c r="K37" s="73">
        <f>-'detailed-financials'!K80</f>
        <v>30.6</v>
      </c>
      <c r="L37" s="73">
        <f>-'detailed-financials'!L80</f>
        <v>2</v>
      </c>
      <c r="M37" s="74"/>
      <c r="N37" s="74"/>
      <c r="O37" s="74"/>
      <c r="P37" s="74"/>
      <c r="Q37" s="74"/>
      <c r="R37" s="74"/>
      <c r="S37" s="74"/>
    </row>
    <row r="38" spans="2:20" x14ac:dyDescent="0.3">
      <c r="B38" s="1" t="s">
        <v>106</v>
      </c>
      <c r="E38" s="46">
        <f>'detailed-financials'!E$56*(1-E$30)/SUM('detailed-financials'!E33,'detailed-financials'!E26,'detailed-financials'!E28,-'detailed-financials'!E12)*(12/'detailed-financials'!E$7)</f>
        <v>0.48128342245989286</v>
      </c>
      <c r="F38" s="46">
        <f>'detailed-financials'!F$56*(1-F$30)/SUM('detailed-financials'!F33,'detailed-financials'!F26,'detailed-financials'!F28,-'detailed-financials'!F12)*(12/'detailed-financials'!F$7)</f>
        <v>0.46946946946946949</v>
      </c>
      <c r="G38" s="46">
        <f>'detailed-financials'!G$56*(1-G$30)/SUM('detailed-financials'!G33,'detailed-financials'!G26,'detailed-financials'!G28,-'detailed-financials'!G12)*(12/'detailed-financials'!G$7)</f>
        <v>0.46233241115130885</v>
      </c>
      <c r="H38" s="46">
        <f>'detailed-financials'!H$56*(1-H$30)/SUM('detailed-financials'!H33,'detailed-financials'!H26,'detailed-financials'!H28,-'detailed-financials'!H12)*(12/'detailed-financials'!H$7)</f>
        <v>0.1854826714264465</v>
      </c>
      <c r="I38" s="46">
        <f>'detailed-financials'!I$56*(1-I$30)/SUM('detailed-financials'!I33,'detailed-financials'!I26,'detailed-financials'!I28,-'detailed-financials'!I12)*(12/'detailed-financials'!I$7)</f>
        <v>0.23837622933668134</v>
      </c>
      <c r="J38" s="46">
        <f>'detailed-financials'!J$56*(1-J$30)/SUM('detailed-financials'!J33,'detailed-financials'!J26,'detailed-financials'!J28,-'detailed-financials'!J12)*(12/'detailed-financials'!J$7)</f>
        <v>0.34957220185088178</v>
      </c>
      <c r="K38" s="46">
        <f>'detailed-financials'!K$56*(1-K$30)/SUM('detailed-financials'!K33,'detailed-financials'!K26,'detailed-financials'!K28,-'detailed-financials'!K12)*(12/'detailed-financials'!K$7)</f>
        <v>0.14336213668499609</v>
      </c>
      <c r="L38" s="46">
        <f>'detailed-financials'!L$56*(1-L$30)/SUM('detailed-financials'!L33,'detailed-financials'!L26,'detailed-financials'!L28,-'detailed-financials'!L12)*(12/'detailed-financials'!L$7)</f>
        <v>0.18466427189831444</v>
      </c>
      <c r="M38" s="61">
        <f>'detailed-financials'!M$56*(1-M$30)/SUM('detailed-financials'!M33,'detailed-financials'!M26,'detailed-financials'!M28,-'detailed-financials'!M12)*(12/'detailed-financials'!M$7)</f>
        <v>0.20866425454803469</v>
      </c>
      <c r="N38" s="61">
        <f>'detailed-financials'!N$56*(1-N$30)/SUM('detailed-financials'!N33,'detailed-financials'!N26,'detailed-financials'!N28,-'detailed-financials'!N12)*(12/'detailed-financials'!N$7)</f>
        <v>0.17864892788322598</v>
      </c>
      <c r="O38" s="61">
        <f>'detailed-financials'!O$56*(1-O$30)/SUM('detailed-financials'!O33,'detailed-financials'!O26,'detailed-financials'!O28,-'detailed-financials'!O12)*(12/'detailed-financials'!O$7)</f>
        <v>0.1886710285297514</v>
      </c>
      <c r="P38" s="61">
        <f>'detailed-financials'!P$56*(1-P$30)/SUM('detailed-financials'!P33,'detailed-financials'!P26,'detailed-financials'!P28,-'detailed-financials'!P12)*(12/'detailed-financials'!P$7)</f>
        <v>0.19692899244348724</v>
      </c>
      <c r="Q38" s="61">
        <f>'detailed-financials'!Q$56*(1-Q$30)/SUM('detailed-financials'!Q33,'detailed-financials'!Q26,'detailed-financials'!Q28,-'detailed-financials'!Q12)*(12/'detailed-financials'!Q$7)</f>
        <v>0.20305806178024008</v>
      </c>
      <c r="R38" s="61">
        <f>'detailed-financials'!R$56*(1-R$30)/SUM('detailed-financials'!R33,'detailed-financials'!R26,'detailed-financials'!R28,-'detailed-financials'!R12)*(12/'detailed-financials'!R$7)</f>
        <v>0.20730120136356181</v>
      </c>
      <c r="S38" s="61">
        <f>'detailed-financials'!S$56*(1-S$30)/SUM('detailed-financials'!S33,'detailed-financials'!S26,'detailed-financials'!S28,-'detailed-financials'!S12)*(12/'detailed-financials'!S$7)</f>
        <v>0.20983031824077239</v>
      </c>
    </row>
    <row r="39" spans="2:20" x14ac:dyDescent="0.3">
      <c r="B39" s="1" t="s">
        <v>107</v>
      </c>
      <c r="E39" s="46">
        <f>'detailed-financials'!E$56*(1-E$30)/SUM(WACC!$E$13,'detailed-financials'!E28,'detailed-financials'!E26,-'detailed-financials'!E12)*(12/'detailed-financials'!E$7)</f>
        <v>3.0005200901489591E-2</v>
      </c>
      <c r="F39" s="46">
        <f>'detailed-financials'!F$56*(1-F$30)/SUM(WACC!$E$13,'detailed-financials'!F28,'detailed-financials'!F26,-'detailed-financials'!F12)*(12/'detailed-financials'!F$7)</f>
        <v>3.7026510665845606E-2</v>
      </c>
      <c r="G39" s="46">
        <f>'detailed-financials'!G$56*(1-G$30)/SUM(WACC!$E$13,'detailed-financials'!G28,'detailed-financials'!G26,-'detailed-financials'!G12)*(12/'detailed-financials'!G$7)</f>
        <v>4.2971469713272988E-2</v>
      </c>
      <c r="H39" s="46">
        <f>'detailed-financials'!H$56*(1-H$30)/SUM(WACC!$E$13,'detailed-financials'!H28,'detailed-financials'!H26,-'detailed-financials'!H12)*(12/'detailed-financials'!H$7)</f>
        <v>3.1409946399065004E-2</v>
      </c>
      <c r="I39" s="46">
        <f>'detailed-financials'!I$56*(1-I$30)/SUM(WACC!$E$13,'detailed-financials'!I28,'detailed-financials'!I26,-'detailed-financials'!I12)*(12/'detailed-financials'!I$7)</f>
        <v>4.7246027717227211E-2</v>
      </c>
      <c r="J39" s="46">
        <f>'detailed-financials'!J$56*(1-J$30)/SUM(WACC!$E$13,'detailed-financials'!J28,'detailed-financials'!J26,-'detailed-financials'!J12)*(12/'detailed-financials'!J$7)</f>
        <v>5.2420635890417656E-2</v>
      </c>
      <c r="K39" s="46">
        <f>'detailed-financials'!K$56*(1-K$30)/SUM(WACC!$E$13,'detailed-financials'!K28,'detailed-financials'!K26,-'detailed-financials'!K12)*(12/'detailed-financials'!K$7)</f>
        <v>5.04411876481278E-2</v>
      </c>
      <c r="L39" s="46">
        <f>'detailed-financials'!L$56*(1-L$30)/SUM(WACC!$E$13,'detailed-financials'!L28,'detailed-financials'!L26,-'detailed-financials'!L12)*(12/'detailed-financials'!L$7)</f>
        <v>8.2481190882103206E-2</v>
      </c>
      <c r="M39" s="46">
        <f>'detailed-financials'!M$56*(1-M$30)/SUM(WACC!$E$13,'detailed-financials'!M28,'detailed-financials'!M26,-'detailed-financials'!M12)*(12/'detailed-financials'!M$7)</f>
        <v>9.6894202630968165E-2</v>
      </c>
      <c r="N39" s="46">
        <f>'detailed-financials'!N$56*(1-N$30)/SUM(WACC!$E$13,'detailed-financials'!N28,'detailed-financials'!N26,-'detailed-financials'!N12)*(12/'detailed-financials'!N$7)</f>
        <v>8.8053643874560841E-2</v>
      </c>
      <c r="O39" s="46">
        <f>'detailed-financials'!O$56*(1-O$30)/SUM(WACC!$E$13,'detailed-financials'!O28,'detailed-financials'!O26,-'detailed-financials'!O12)*(12/'detailed-financials'!O$7)</f>
        <v>9.9006380813870878E-2</v>
      </c>
      <c r="P39" s="46">
        <f>'detailed-financials'!P$56*(1-P$30)/SUM(WACC!$E$13,'detailed-financials'!P28,'detailed-financials'!P26,-'detailed-financials'!P12)*(12/'detailed-financials'!P$7)</f>
        <v>0.11037332157992163</v>
      </c>
      <c r="Q39" s="46">
        <f>'detailed-financials'!Q$56*(1-Q$30)/SUM(WACC!$E$13,'detailed-financials'!Q28,'detailed-financials'!Q26,-'detailed-financials'!Q12)*(12/'detailed-financials'!Q$7)</f>
        <v>0.12176602848509653</v>
      </c>
      <c r="R39" s="46">
        <f>'detailed-financials'!R$56*(1-R$30)/SUM(WACC!$E$13,'detailed-financials'!R28,'detailed-financials'!R26,-'detailed-financials'!R12)*(12/'detailed-financials'!R$7)</f>
        <v>0.13323381498150977</v>
      </c>
      <c r="S39" s="46">
        <f>'detailed-financials'!S$56*(1-S$30)/SUM(WACC!$E$13,'detailed-financials'!S28,'detailed-financials'!S26,-'detailed-financials'!S12)*(12/'detailed-financials'!S$7)</f>
        <v>0.14482285763318667</v>
      </c>
    </row>
    <row r="40" spans="2:20" x14ac:dyDescent="0.3">
      <c r="B40" s="38"/>
    </row>
    <row r="41" spans="2:20" x14ac:dyDescent="0.3">
      <c r="B41" s="2" t="s">
        <v>137</v>
      </c>
      <c r="C41" s="3"/>
      <c r="D41" s="5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5"/>
      <c r="Q41" s="5"/>
      <c r="R41" s="5"/>
      <c r="S41" s="5"/>
    </row>
    <row r="42" spans="2:20" x14ac:dyDescent="0.3">
      <c r="B42" s="38"/>
    </row>
    <row r="43" spans="2:20" x14ac:dyDescent="0.3">
      <c r="B43" s="38" t="s">
        <v>32</v>
      </c>
      <c r="C43" s="38"/>
      <c r="D43" s="38"/>
      <c r="E43" s="90">
        <f>'detailed-financials'!E49</f>
        <v>76.8</v>
      </c>
      <c r="F43" s="90">
        <f>'detailed-financials'!F49</f>
        <v>79</v>
      </c>
      <c r="G43" s="90">
        <f>'detailed-financials'!G49</f>
        <v>110</v>
      </c>
      <c r="H43" s="90">
        <f>'detailed-financials'!H49</f>
        <v>87.6</v>
      </c>
      <c r="I43" s="90">
        <f>'detailed-financials'!I49</f>
        <v>123.3</v>
      </c>
      <c r="J43" s="90">
        <f>'detailed-financials'!J49</f>
        <v>115.7</v>
      </c>
      <c r="K43" s="90">
        <f>'detailed-financials'!K49</f>
        <v>136.4</v>
      </c>
      <c r="L43" s="90">
        <f>'detailed-financials'!L49</f>
        <v>154.19999999999999</v>
      </c>
      <c r="M43" s="91">
        <f>'detailed-financials'!M49</f>
        <v>164.70102</v>
      </c>
      <c r="N43" s="91">
        <f>'detailed-financials'!N49</f>
        <v>175.22541517800002</v>
      </c>
      <c r="O43" s="91">
        <f>'detailed-financials'!O49</f>
        <v>185.05556096948584</v>
      </c>
      <c r="P43" s="91">
        <f>'detailed-financials'!P49</f>
        <v>194.30833901796015</v>
      </c>
      <c r="Q43" s="91">
        <f>'detailed-financials'!Q49</f>
        <v>202.08067257867856</v>
      </c>
      <c r="R43" s="91">
        <f>'detailed-financials'!R49</f>
        <v>208.14309275603893</v>
      </c>
      <c r="S43" s="91">
        <f>'detailed-financials'!S49</f>
        <v>212.30595461115971</v>
      </c>
      <c r="T43" s="85"/>
    </row>
    <row r="44" spans="2:20" x14ac:dyDescent="0.3">
      <c r="B44" s="44" t="s">
        <v>312</v>
      </c>
      <c r="C44" s="44"/>
      <c r="D44" s="44"/>
      <c r="E44" s="78"/>
      <c r="F44" s="78">
        <f>F43/E43-1</f>
        <v>2.8645833333333481E-2</v>
      </c>
      <c r="G44" s="78">
        <f t="shared" ref="G44:S44" si="6">G43/F43-1</f>
        <v>0.39240506329113933</v>
      </c>
      <c r="H44" s="78">
        <f t="shared" si="6"/>
        <v>-0.20363636363636373</v>
      </c>
      <c r="I44" s="78">
        <f t="shared" si="6"/>
        <v>0.40753424657534243</v>
      </c>
      <c r="J44" s="78">
        <f t="shared" si="6"/>
        <v>-6.1638280616382768E-2</v>
      </c>
      <c r="K44" s="78">
        <f t="shared" si="6"/>
        <v>0.17891097666378575</v>
      </c>
      <c r="L44" s="78">
        <f t="shared" si="6"/>
        <v>0.13049853372434006</v>
      </c>
      <c r="M44" s="79">
        <f>M43/L43-1</f>
        <v>6.8100000000000049E-2</v>
      </c>
      <c r="N44" s="79">
        <f t="shared" si="6"/>
        <v>6.3900000000000068E-2</v>
      </c>
      <c r="O44" s="79">
        <f t="shared" si="6"/>
        <v>5.6100000000000039E-2</v>
      </c>
      <c r="P44" s="79">
        <f t="shared" si="6"/>
        <v>5.0000000000000044E-2</v>
      </c>
      <c r="Q44" s="79">
        <f t="shared" si="6"/>
        <v>4.0000000000000036E-2</v>
      </c>
      <c r="R44" s="79">
        <f t="shared" si="6"/>
        <v>3.0000000000000027E-2</v>
      </c>
      <c r="S44" s="79">
        <f t="shared" si="6"/>
        <v>2.0000000000000018E-2</v>
      </c>
      <c r="T44" s="85"/>
    </row>
    <row r="45" spans="2:20" x14ac:dyDescent="0.3">
      <c r="B45" s="80" t="s">
        <v>34</v>
      </c>
      <c r="C45" s="80"/>
      <c r="D45" s="80"/>
      <c r="E45" s="92">
        <f>'detailed-financials'!E51</f>
        <v>20.099999999999994</v>
      </c>
      <c r="F45" s="92">
        <f>'detailed-financials'!F51</f>
        <v>18.899999999999999</v>
      </c>
      <c r="G45" s="92">
        <f>'detailed-financials'!G51</f>
        <v>24.599999999999994</v>
      </c>
      <c r="H45" s="92">
        <f>'detailed-financials'!H51</f>
        <v>19.599999999999994</v>
      </c>
      <c r="I45" s="92">
        <f>'detailed-financials'!I51</f>
        <v>27.299999999999997</v>
      </c>
      <c r="J45" s="92">
        <f>'detailed-financials'!J51</f>
        <v>26.600000000000009</v>
      </c>
      <c r="K45" s="92">
        <f>'detailed-financials'!K51</f>
        <v>30.300000000000011</v>
      </c>
      <c r="L45" s="92">
        <f>'detailed-financials'!L51</f>
        <v>38.399999999999991</v>
      </c>
      <c r="M45" s="93">
        <f>'detailed-financials'!M51</f>
        <v>40.681151940000007</v>
      </c>
      <c r="N45" s="93">
        <f>'detailed-financials'!N51</f>
        <v>40.597145208629655</v>
      </c>
      <c r="O45" s="93">
        <f>'detailed-financials'!O51</f>
        <v>42.874645054833792</v>
      </c>
      <c r="P45" s="93">
        <f>'detailed-financials'!P51</f>
        <v>45.018377307575491</v>
      </c>
      <c r="Q45" s="93">
        <f>'detailed-financials'!Q51</f>
        <v>46.81911239987852</v>
      </c>
      <c r="R45" s="93">
        <f>'detailed-financials'!R51</f>
        <v>48.223685771874869</v>
      </c>
      <c r="S45" s="93">
        <f>'detailed-financials'!S51</f>
        <v>49.188159487312362</v>
      </c>
      <c r="T45" s="85"/>
    </row>
    <row r="46" spans="2:20" x14ac:dyDescent="0.3">
      <c r="B46" s="45" t="s">
        <v>311</v>
      </c>
      <c r="C46" s="45"/>
      <c r="D46" s="45"/>
      <c r="E46" s="78">
        <f t="shared" ref="E46:L46" si="7">E45/E$43</f>
        <v>0.26171874999999994</v>
      </c>
      <c r="F46" s="78">
        <f t="shared" si="7"/>
        <v>0.23924050632911389</v>
      </c>
      <c r="G46" s="78">
        <f t="shared" si="7"/>
        <v>0.22363636363636358</v>
      </c>
      <c r="H46" s="78">
        <f t="shared" si="7"/>
        <v>0.22374429223744288</v>
      </c>
      <c r="I46" s="78">
        <f t="shared" si="7"/>
        <v>0.2214111922141119</v>
      </c>
      <c r="J46" s="78">
        <f t="shared" si="7"/>
        <v>0.22990492653414007</v>
      </c>
      <c r="K46" s="78">
        <f t="shared" si="7"/>
        <v>0.22214076246334319</v>
      </c>
      <c r="L46" s="78">
        <f t="shared" si="7"/>
        <v>0.24902723735408558</v>
      </c>
      <c r="M46" s="79">
        <f t="shared" ref="M46:M48" si="8">M45/M$43</f>
        <v>0.24700000000000005</v>
      </c>
      <c r="N46" s="79">
        <f t="shared" ref="N46:N48" si="9">N45/N$43</f>
        <v>0.23168525620207361</v>
      </c>
      <c r="O46" s="79">
        <f t="shared" ref="O46:O48" si="10">O45/O$43</f>
        <v>0.23168525620207367</v>
      </c>
      <c r="P46" s="79">
        <f t="shared" ref="P46:P48" si="11">P45/P$43</f>
        <v>0.2316852562020737</v>
      </c>
      <c r="Q46" s="79">
        <f t="shared" ref="Q46:Q48" si="12">Q45/Q$43</f>
        <v>0.23168525620207375</v>
      </c>
      <c r="R46" s="79">
        <f t="shared" ref="R46:R48" si="13">R45/R$43</f>
        <v>0.2316852562020737</v>
      </c>
      <c r="S46" s="79">
        <f t="shared" ref="S46:S48" si="14">S45/S$43</f>
        <v>0.23168525620207367</v>
      </c>
      <c r="T46" s="85"/>
    </row>
    <row r="47" spans="2:20" x14ac:dyDescent="0.3">
      <c r="B47" s="80" t="s">
        <v>36</v>
      </c>
      <c r="C47" s="80"/>
      <c r="D47" s="80"/>
      <c r="E47" s="92">
        <f>'detailed-financials'!E54</f>
        <v>5.4</v>
      </c>
      <c r="F47" s="92">
        <f>'detailed-financials'!F54</f>
        <v>7</v>
      </c>
      <c r="G47" s="92">
        <f>'detailed-financials'!G54</f>
        <v>8.3000000000000007</v>
      </c>
      <c r="H47" s="92">
        <f>'detailed-financials'!H54</f>
        <v>6.3</v>
      </c>
      <c r="I47" s="92">
        <f>'detailed-financials'!I54</f>
        <v>10.4</v>
      </c>
      <c r="J47" s="92">
        <f>'detailed-financials'!J54</f>
        <v>10.6</v>
      </c>
      <c r="K47" s="92">
        <f>'detailed-financials'!K54</f>
        <v>11.7</v>
      </c>
      <c r="L47" s="92">
        <f>'detailed-financials'!L54</f>
        <v>18.399999999999999</v>
      </c>
      <c r="M47" s="93">
        <f>'detailed-financials'!M54</f>
        <v>19.962089846976756</v>
      </c>
      <c r="N47" s="93">
        <f>'detailed-financials'!N54</f>
        <v>19.157420396699425</v>
      </c>
      <c r="O47" s="93">
        <f>'detailed-financials'!O54</f>
        <v>20.761796564675205</v>
      </c>
      <c r="P47" s="93">
        <f>'detailed-financials'!P54</f>
        <v>22.271940656474865</v>
      </c>
      <c r="Q47" s="93">
        <f>'detailed-financials'!Q54</f>
        <v>23.540461693586582</v>
      </c>
      <c r="R47" s="93">
        <f>'detailed-financials'!R54</f>
        <v>24.529908102533707</v>
      </c>
      <c r="S47" s="93">
        <f>'detailed-financials'!S54</f>
        <v>25.209327970010733</v>
      </c>
      <c r="T47" s="85"/>
    </row>
    <row r="48" spans="2:20" x14ac:dyDescent="0.3">
      <c r="B48" s="45" t="s">
        <v>116</v>
      </c>
      <c r="C48" s="45"/>
      <c r="D48" s="45"/>
      <c r="E48" s="78">
        <f t="shared" ref="E48:L48" si="15">E47/E$43</f>
        <v>7.0312500000000014E-2</v>
      </c>
      <c r="F48" s="78">
        <f t="shared" si="15"/>
        <v>8.8607594936708861E-2</v>
      </c>
      <c r="G48" s="78">
        <f t="shared" si="15"/>
        <v>7.5454545454545455E-2</v>
      </c>
      <c r="H48" s="78">
        <f t="shared" si="15"/>
        <v>7.1917808219178078E-2</v>
      </c>
      <c r="I48" s="78">
        <f t="shared" si="15"/>
        <v>8.4347120843471207E-2</v>
      </c>
      <c r="J48" s="78">
        <f t="shared" si="15"/>
        <v>9.1616248919619697E-2</v>
      </c>
      <c r="K48" s="78">
        <f t="shared" si="15"/>
        <v>8.5777126099706738E-2</v>
      </c>
      <c r="L48" s="78">
        <f t="shared" si="15"/>
        <v>0.11932555123216602</v>
      </c>
      <c r="M48" s="79">
        <f t="shared" si="8"/>
        <v>0.12120198069797476</v>
      </c>
      <c r="N48" s="79">
        <f t="shared" si="9"/>
        <v>0.10933014698375038</v>
      </c>
      <c r="O48" s="79">
        <f t="shared" si="10"/>
        <v>0.11219223273219364</v>
      </c>
      <c r="P48" s="79">
        <f t="shared" si="11"/>
        <v>0.11462164088807451</v>
      </c>
      <c r="Q48" s="79">
        <f t="shared" si="12"/>
        <v>0.11649041639259827</v>
      </c>
      <c r="R48" s="79">
        <f t="shared" si="13"/>
        <v>0.11785117525511551</v>
      </c>
      <c r="S48" s="79">
        <f t="shared" si="14"/>
        <v>0.11874056013257776</v>
      </c>
      <c r="T48" s="85"/>
    </row>
    <row r="49" spans="2:20" x14ac:dyDescent="0.3">
      <c r="B49" s="38" t="s">
        <v>38</v>
      </c>
      <c r="C49" s="38"/>
      <c r="D49" s="38"/>
      <c r="E49" s="94">
        <f>'detailed-financials'!E56</f>
        <v>5</v>
      </c>
      <c r="F49" s="94">
        <f>'detailed-financials'!F56</f>
        <v>6.7</v>
      </c>
      <c r="G49" s="94">
        <f>'detailed-financials'!G56</f>
        <v>7.9</v>
      </c>
      <c r="H49" s="94">
        <f>'detailed-financials'!H56</f>
        <v>5.8</v>
      </c>
      <c r="I49" s="94">
        <f>'detailed-financials'!I56</f>
        <v>8.9</v>
      </c>
      <c r="J49" s="94">
        <f>'detailed-financials'!J56</f>
        <v>9.1</v>
      </c>
      <c r="K49" s="94">
        <f>'detailed-financials'!K56</f>
        <v>10</v>
      </c>
      <c r="L49" s="94">
        <f>'detailed-financials'!L56</f>
        <v>16.3</v>
      </c>
      <c r="M49" s="95">
        <f>'detailed-financials'!M56</f>
        <v>18.042089846976758</v>
      </c>
      <c r="N49" s="95">
        <f>'detailed-financials'!N56</f>
        <v>17.320996056042574</v>
      </c>
      <c r="O49" s="95">
        <f>'detailed-financials'!O56</f>
        <v>18.952409270190586</v>
      </c>
      <c r="P49" s="95">
        <f>'detailed-financials'!P56</f>
        <v>20.452089050947812</v>
      </c>
      <c r="Q49" s="95">
        <f>'detailed-financials'!Q56</f>
        <v>21.685621045360438</v>
      </c>
      <c r="R49" s="95">
        <f>'detailed-financials'!R56</f>
        <v>22.627337343443909</v>
      </c>
      <c r="S49" s="95">
        <f>'detailed-financials'!S56</f>
        <v>23.255220664156433</v>
      </c>
      <c r="T49" s="85"/>
    </row>
    <row r="50" spans="2:20" x14ac:dyDescent="0.3">
      <c r="B50" s="45" t="s">
        <v>118</v>
      </c>
      <c r="C50" s="45"/>
      <c r="D50" s="45"/>
      <c r="E50" s="78">
        <f t="shared" ref="E50:L50" si="16">E49/E$43</f>
        <v>6.5104166666666671E-2</v>
      </c>
      <c r="F50" s="78">
        <f t="shared" si="16"/>
        <v>8.4810126582278489E-2</v>
      </c>
      <c r="G50" s="78">
        <f t="shared" si="16"/>
        <v>7.1818181818181823E-2</v>
      </c>
      <c r="H50" s="78">
        <f t="shared" si="16"/>
        <v>6.6210045662100453E-2</v>
      </c>
      <c r="I50" s="78">
        <f t="shared" si="16"/>
        <v>7.2181670721816707E-2</v>
      </c>
      <c r="J50" s="78">
        <f t="shared" si="16"/>
        <v>7.8651685393258425E-2</v>
      </c>
      <c r="K50" s="78">
        <f t="shared" si="16"/>
        <v>7.3313782991202336E-2</v>
      </c>
      <c r="L50" s="78">
        <f t="shared" si="16"/>
        <v>0.10570687418936447</v>
      </c>
      <c r="M50" s="79">
        <f t="shared" ref="M50" si="17">M49/M$43</f>
        <v>0.10954449369516205</v>
      </c>
      <c r="N50" s="79">
        <f t="shared" ref="N50" si="18">N49/N$43</f>
        <v>9.8849793213200893E-2</v>
      </c>
      <c r="O50" s="79">
        <f t="shared" ref="O50" si="19">O49/O$43</f>
        <v>0.10241469735305973</v>
      </c>
      <c r="P50" s="79">
        <f t="shared" ref="P50" si="20">P49/P$43</f>
        <v>0.1052558482786341</v>
      </c>
      <c r="Q50" s="79">
        <f t="shared" ref="Q50" si="21">Q49/Q$43</f>
        <v>0.10731170264151466</v>
      </c>
      <c r="R50" s="79">
        <f t="shared" ref="R50" si="22">R49/R$43</f>
        <v>0.10871048874999199</v>
      </c>
      <c r="S50" s="79">
        <f t="shared" ref="S50" si="23">S49/S$43</f>
        <v>0.10953635618345506</v>
      </c>
      <c r="T50" s="85"/>
    </row>
    <row r="51" spans="2:20" x14ac:dyDescent="0.3">
      <c r="B51" s="38" t="s">
        <v>41</v>
      </c>
      <c r="C51" s="38"/>
      <c r="D51" s="38"/>
      <c r="E51" s="94">
        <f>'detailed-financials'!E60</f>
        <v>3.6000000000000005</v>
      </c>
      <c r="F51" s="94">
        <f>'detailed-financials'!F60</f>
        <v>4.9000000000000004</v>
      </c>
      <c r="G51" s="94">
        <f>'detailed-financials'!G60</f>
        <v>5.5</v>
      </c>
      <c r="H51" s="94">
        <f>'detailed-financials'!H60</f>
        <v>4.2999999999999989</v>
      </c>
      <c r="I51" s="94">
        <f>'detailed-financials'!I60</f>
        <v>6.3999999999999995</v>
      </c>
      <c r="J51" s="94">
        <f>'detailed-financials'!J60</f>
        <v>6.5999999999999988</v>
      </c>
      <c r="K51" s="94">
        <f>'detailed-financials'!K60</f>
        <v>7.3</v>
      </c>
      <c r="L51" s="94">
        <f>'detailed-financials'!L60</f>
        <v>12.3</v>
      </c>
      <c r="M51" s="95">
        <f>'detailed-financials'!M60</f>
        <v>13.302286866910425</v>
      </c>
      <c r="N51" s="95">
        <f>'detailed-financials'!N60</f>
        <v>11.946579723585968</v>
      </c>
      <c r="O51" s="95">
        <f>'detailed-financials'!O60</f>
        <v>13.170139634196975</v>
      </c>
      <c r="P51" s="95">
        <f>'detailed-financials'!P60</f>
        <v>14.294899469764895</v>
      </c>
      <c r="Q51" s="95">
        <f>'detailed-financials'!Q60</f>
        <v>15.220048465574367</v>
      </c>
      <c r="R51" s="95">
        <f>'detailed-financials'!R60</f>
        <v>15.92633568913697</v>
      </c>
      <c r="S51" s="95">
        <f>'detailed-financials'!S60</f>
        <v>16.397248179671358</v>
      </c>
      <c r="T51" s="85"/>
    </row>
    <row r="52" spans="2:20" x14ac:dyDescent="0.3">
      <c r="B52" s="21" t="s">
        <v>115</v>
      </c>
      <c r="C52" s="21"/>
      <c r="D52" s="21"/>
      <c r="E52" s="78">
        <f t="shared" ref="E52:L52" si="24">E51/E$43</f>
        <v>4.6875000000000007E-2</v>
      </c>
      <c r="F52" s="78">
        <f t="shared" si="24"/>
        <v>6.2025316455696207E-2</v>
      </c>
      <c r="G52" s="78">
        <f t="shared" si="24"/>
        <v>0.05</v>
      </c>
      <c r="H52" s="78">
        <f t="shared" si="24"/>
        <v>4.908675799086757E-2</v>
      </c>
      <c r="I52" s="78">
        <f t="shared" si="24"/>
        <v>5.19059205190592E-2</v>
      </c>
      <c r="J52" s="78">
        <f t="shared" si="24"/>
        <v>5.7044079515989617E-2</v>
      </c>
      <c r="K52" s="78">
        <f t="shared" si="24"/>
        <v>5.3519061583577707E-2</v>
      </c>
      <c r="L52" s="78">
        <f t="shared" si="24"/>
        <v>7.9766536964980553E-2</v>
      </c>
      <c r="M52" s="79">
        <f t="shared" ref="M52" si="25">M51/M$43</f>
        <v>8.0766268884736869E-2</v>
      </c>
      <c r="N52" s="79">
        <f t="shared" ref="N52" si="26">N51/N$43</f>
        <v>6.8178350220772593E-2</v>
      </c>
      <c r="O52" s="79">
        <f t="shared" ref="O52" si="27">O51/O$43</f>
        <v>7.1168569942994711E-2</v>
      </c>
      <c r="P52" s="79">
        <f t="shared" ref="P52" si="28">P51/P$43</f>
        <v>7.3568121378689774E-2</v>
      </c>
      <c r="Q52" s="79">
        <f t="shared" ref="Q52" si="29">Q51/Q$43</f>
        <v>7.53166954135535E-2</v>
      </c>
      <c r="R52" s="79">
        <f t="shared" ref="R52" si="30">R51/R$43</f>
        <v>7.6516282516297399E-2</v>
      </c>
      <c r="S52" s="79">
        <f t="shared" ref="S52" si="31">S51/S$43</f>
        <v>7.7234047484457363E-2</v>
      </c>
      <c r="T52" s="85"/>
    </row>
    <row r="53" spans="2:20" x14ac:dyDescent="0.3">
      <c r="B53" s="38"/>
    </row>
    <row r="54" spans="2:20" x14ac:dyDescent="0.3">
      <c r="B54" s="47" t="s">
        <v>287</v>
      </c>
      <c r="C54" s="47"/>
      <c r="D54" s="47"/>
      <c r="E54" s="50">
        <f>'detailed-financials'!E65</f>
        <v>4.3795620437956204</v>
      </c>
      <c r="F54" s="50">
        <f>'detailed-financials'!F65</f>
        <v>6.6305818673883632</v>
      </c>
      <c r="G54" s="50">
        <f>'detailed-financials'!G65</f>
        <v>7.0332480818414327</v>
      </c>
      <c r="H54" s="50">
        <f>'detailed-financials'!H65</f>
        <v>5.2311435523114342</v>
      </c>
      <c r="I54" s="50">
        <f>'detailed-financials'!I65</f>
        <v>7.9601990049751228</v>
      </c>
      <c r="J54" s="50">
        <f>'detailed-financials'!J65</f>
        <v>8.2603254067584455</v>
      </c>
      <c r="K54" s="50">
        <f>'detailed-financials'!K65</f>
        <v>9.0683229813664603</v>
      </c>
      <c r="L54" s="50">
        <f>'detailed-financials'!L65</f>
        <v>13.835770528683913</v>
      </c>
      <c r="M54" s="51">
        <f>'detailed-financials'!M65</f>
        <v>14.963202324983605</v>
      </c>
      <c r="N54" s="51">
        <f>'detailed-financials'!N65</f>
        <v>13.438222411232809</v>
      </c>
      <c r="O54" s="51">
        <f>'detailed-financials'!O65</f>
        <v>14.814555269062962</v>
      </c>
      <c r="P54" s="51">
        <f>'detailed-financials'!P65</f>
        <v>16.079751934493693</v>
      </c>
      <c r="Q54" s="51">
        <f>'detailed-financials'!Q65</f>
        <v>17.120414471962167</v>
      </c>
      <c r="R54" s="51">
        <f>'detailed-financials'!R65</f>
        <v>17.914888289242935</v>
      </c>
      <c r="S54" s="51">
        <f>'detailed-financials'!S65</f>
        <v>18.444598627301865</v>
      </c>
    </row>
    <row r="55" spans="2:20" x14ac:dyDescent="0.3">
      <c r="B55" s="47" t="s">
        <v>117</v>
      </c>
      <c r="C55" s="47"/>
      <c r="D55" s="47"/>
      <c r="E55" s="48">
        <f>$D$12/E54</f>
        <v>33.450833333333335</v>
      </c>
      <c r="F55" s="48">
        <f t="shared" ref="F55:S55" si="32">$D$12/F54</f>
        <v>22.094591836734693</v>
      </c>
      <c r="G55" s="48">
        <f t="shared" si="32"/>
        <v>20.829636363636361</v>
      </c>
      <c r="H55" s="48">
        <f t="shared" si="32"/>
        <v>28.005348837209308</v>
      </c>
      <c r="I55" s="48">
        <f t="shared" si="32"/>
        <v>18.404062500000002</v>
      </c>
      <c r="J55" s="48">
        <f t="shared" si="32"/>
        <v>17.735378787878794</v>
      </c>
      <c r="K55" s="48">
        <f t="shared" si="32"/>
        <v>16.155136986301368</v>
      </c>
      <c r="L55" s="48">
        <f t="shared" si="32"/>
        <v>10.588495934959351</v>
      </c>
      <c r="M55" s="49">
        <f t="shared" si="32"/>
        <v>9.7906849628968384</v>
      </c>
      <c r="N55" s="49">
        <f t="shared" si="32"/>
        <v>10.901739494767019</v>
      </c>
      <c r="O55" s="49">
        <f t="shared" si="32"/>
        <v>9.8889232473913005</v>
      </c>
      <c r="P55" s="49">
        <f t="shared" si="32"/>
        <v>9.1108370699260348</v>
      </c>
      <c r="Q55" s="49">
        <f t="shared" si="32"/>
        <v>8.5570358264352038</v>
      </c>
      <c r="R55" s="49">
        <f t="shared" si="32"/>
        <v>8.1775558761349636</v>
      </c>
      <c r="S55" s="49">
        <f t="shared" si="32"/>
        <v>7.9427046887943309</v>
      </c>
    </row>
    <row r="57" spans="2:20" x14ac:dyDescent="0.3">
      <c r="B57" s="47" t="s">
        <v>119</v>
      </c>
      <c r="C57" s="47"/>
      <c r="D57" s="47"/>
      <c r="E57" s="48">
        <f t="shared" ref="E57:S57" si="33">SUM($D$12*$D$13/10^8,-SUM($L$10:$L$13))/E49*E20/12</f>
        <v>30.103300000000001</v>
      </c>
      <c r="F57" s="48">
        <f t="shared" si="33"/>
        <v>22.46514925373134</v>
      </c>
      <c r="G57" s="48">
        <f t="shared" si="33"/>
        <v>19.052721518987337</v>
      </c>
      <c r="H57" s="48">
        <f t="shared" si="33"/>
        <v>25.95112068965517</v>
      </c>
      <c r="I57" s="48">
        <f t="shared" si="33"/>
        <v>16.911966292134828</v>
      </c>
      <c r="J57" s="48">
        <f t="shared" si="33"/>
        <v>16.540274725274724</v>
      </c>
      <c r="K57" s="48">
        <f t="shared" si="33"/>
        <v>15.05165</v>
      </c>
      <c r="L57" s="48">
        <f t="shared" si="33"/>
        <v>9.2341411042944763</v>
      </c>
      <c r="M57" s="49">
        <f t="shared" si="33"/>
        <v>8.3425202555025209</v>
      </c>
      <c r="N57" s="49">
        <f t="shared" si="33"/>
        <v>8.6898293558291666</v>
      </c>
      <c r="O57" s="49">
        <f t="shared" si="33"/>
        <v>7.9418135105778234</v>
      </c>
      <c r="P57" s="49">
        <f t="shared" si="33"/>
        <v>7.359468249187219</v>
      </c>
      <c r="Q57" s="49">
        <f t="shared" si="33"/>
        <v>6.9408434134839991</v>
      </c>
      <c r="R57" s="49">
        <f t="shared" si="33"/>
        <v>6.6519757811279083</v>
      </c>
      <c r="S57" s="49">
        <f t="shared" si="33"/>
        <v>6.4723746196050067</v>
      </c>
    </row>
    <row r="58" spans="2:20" x14ac:dyDescent="0.3">
      <c r="B58" s="47" t="s">
        <v>120</v>
      </c>
      <c r="C58" s="47"/>
      <c r="D58" s="47"/>
      <c r="E58" s="48">
        <f>summary!$L$9/E49*E20/12</f>
        <v>30.908756482126126</v>
      </c>
      <c r="F58" s="48">
        <f>summary!$L$9/F49*F20/12</f>
        <v>23.066236180691146</v>
      </c>
      <c r="G58" s="48">
        <f>summary!$L$9/G49*G20/12</f>
        <v>19.562504102611474</v>
      </c>
      <c r="H58" s="48">
        <f>summary!$L$9/H49*H20/12</f>
        <v>26.645479725970805</v>
      </c>
      <c r="I58" s="48">
        <f>summary!$L$9/I49*I20/12</f>
        <v>17.364469933778725</v>
      </c>
      <c r="J58" s="48">
        <f>summary!$L$9/J49*J20/12</f>
        <v>16.982833231937434</v>
      </c>
      <c r="K58" s="48">
        <f>summary!$L$9/K49*K20/12</f>
        <v>15.454378241063063</v>
      </c>
      <c r="L58" s="48">
        <f>summary!$L$9/L49*L20/12</f>
        <v>9.481213644823967</v>
      </c>
      <c r="M58" s="49">
        <f>summary!$L$9/M49*M20/12</f>
        <v>8.5657362157813974</v>
      </c>
      <c r="N58" s="49">
        <f>summary!$L$9/N49*N20/12</f>
        <v>8.9223380636194278</v>
      </c>
      <c r="O58" s="49">
        <f>summary!$L$9/O49*O20/12</f>
        <v>8.1543079936388772</v>
      </c>
      <c r="P58" s="49">
        <f>summary!$L$9/P49*P20/12</f>
        <v>7.5563812589339685</v>
      </c>
      <c r="Q58" s="49">
        <f>summary!$L$9/Q49*Q20/12</f>
        <v>7.1265555220838257</v>
      </c>
      <c r="R58" s="49">
        <f>summary!$L$9/R49*R20/12</f>
        <v>6.8299588265699542</v>
      </c>
      <c r="S58" s="49">
        <f>summary!$L$9/S49*S20/12</f>
        <v>6.6455521812713201</v>
      </c>
    </row>
    <row r="59" spans="2:20" x14ac:dyDescent="0.3">
      <c r="B59" s="47"/>
      <c r="C59" s="47"/>
      <c r="D59" s="47"/>
      <c r="E59" s="52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</row>
    <row r="60" spans="2:20" x14ac:dyDescent="0.3">
      <c r="B60" s="47" t="s">
        <v>314</v>
      </c>
      <c r="C60" s="47"/>
      <c r="D60" s="47"/>
      <c r="E60" s="50">
        <f>SUM('detailed-financials'!E77,'detailed-financials'!E84,-'detailed-financials'!E57)</f>
        <v>3.3000000000000003</v>
      </c>
      <c r="F60" s="50">
        <f>SUM('detailed-financials'!F77,'detailed-financials'!F84,-'detailed-financials'!F57)</f>
        <v>3.4</v>
      </c>
      <c r="G60" s="50">
        <f>SUM('detailed-financials'!G77,'detailed-financials'!G84,-'detailed-financials'!G57)</f>
        <v>8.8000000000000007</v>
      </c>
      <c r="H60" s="50">
        <f>SUM('detailed-financials'!H77,'detailed-financials'!H84,-'detailed-financials'!H57)</f>
        <v>-2.6</v>
      </c>
      <c r="I60" s="50">
        <f>SUM('detailed-financials'!I77,'detailed-financials'!I84,-'detailed-financials'!I57)</f>
        <v>4.6999999999999993</v>
      </c>
      <c r="J60" s="50">
        <f>SUM('detailed-financials'!J77,'detailed-financials'!J84,-'detailed-financials'!J57)</f>
        <v>16</v>
      </c>
      <c r="K60" s="50">
        <f>SUM('detailed-financials'!K77,'detailed-financials'!K84,-'detailed-financials'!K57)</f>
        <v>-23.2</v>
      </c>
      <c r="L60" s="50">
        <f>SUM('detailed-financials'!L77,'detailed-financials'!L84,-'detailed-financials'!L57)</f>
        <v>1.6</v>
      </c>
      <c r="M60" s="51">
        <f>SUM('detailed-financials'!M77,'detailed-financials'!M84,-'detailed-financials'!M57)</f>
        <v>15.385402353427949</v>
      </c>
      <c r="N60" s="51">
        <f>SUM('detailed-financials'!N77,'detailed-financials'!N84,-'detailed-financials'!N57)</f>
        <v>10.658576095900825</v>
      </c>
      <c r="O60" s="51">
        <f>SUM('detailed-financials'!O77,'detailed-financials'!O84,-'detailed-financials'!O57)</f>
        <v>11.939879649796641</v>
      </c>
      <c r="P60" s="51">
        <f>SUM('detailed-financials'!P77,'detailed-financials'!P84,-'detailed-financials'!P57)</f>
        <v>13.134871640413158</v>
      </c>
      <c r="Q60" s="51">
        <f>SUM('detailed-financials'!Q77,'detailed-financials'!Q84,-'detailed-financials'!Q57)</f>
        <v>14.407249733532675</v>
      </c>
      <c r="R60" s="51">
        <f>SUM('detailed-financials'!R77,'detailed-financials'!R84,-'detailed-financials'!R57)</f>
        <v>15.550951557252413</v>
      </c>
      <c r="S60" s="51">
        <f>SUM('detailed-financials'!S77,'detailed-financials'!S84,-'detailed-financials'!S57)</f>
        <v>16.531936612883534</v>
      </c>
    </row>
    <row r="61" spans="2:20" x14ac:dyDescent="0.3">
      <c r="B61" s="47" t="s">
        <v>313</v>
      </c>
      <c r="C61" s="47"/>
      <c r="D61" s="47"/>
      <c r="E61" s="48">
        <f>SUM($D$12*$D$13/10^8,-SUM($L$10:$L$13))/SUM('detailed-financials'!E77,'detailed-financials'!E84,-'detailed-financials'!E57)*E20/12</f>
        <v>45.611060606060597</v>
      </c>
      <c r="F61" s="48">
        <f>SUM($D$12*$D$13/10^8,-SUM($L$10:$L$13))/SUM('detailed-financials'!F77,'detailed-financials'!F84,-'detailed-financials'!F57)*F20/12</f>
        <v>44.269558823529415</v>
      </c>
      <c r="G61" s="48">
        <f>SUM($D$12*$D$13/10^8,-SUM($L$10:$L$13))/SUM('detailed-financials'!G77,'detailed-financials'!G84,-'detailed-financials'!G57)*G20/12</f>
        <v>17.104147727272725</v>
      </c>
      <c r="H61" s="48">
        <f>SUM($D$12*$D$13/10^8,-SUM($L$10:$L$13))/SUM('detailed-financials'!H77,'detailed-financials'!H84,-'detailed-financials'!H57)*H20/12</f>
        <v>-57.890961538461532</v>
      </c>
      <c r="I61" s="48">
        <f>SUM($D$12*$D$13/10^8,-SUM($L$10:$L$13))/SUM('detailed-financials'!I77,'detailed-financials'!I84,-'detailed-financials'!I57)*I20/12</f>
        <v>32.024787234042556</v>
      </c>
      <c r="J61" s="48">
        <f>SUM($D$12*$D$13/10^8,-SUM($L$10:$L$13))/SUM('detailed-financials'!J77,'detailed-financials'!J84,-'detailed-financials'!J57)*J20/12</f>
        <v>9.4072812499999987</v>
      </c>
      <c r="K61" s="48">
        <f>SUM($D$12*$D$13/10^8,-SUM($L$10:$L$13))/SUM('detailed-financials'!K77,'detailed-financials'!K84,-'detailed-financials'!K57)*K20/12</f>
        <v>-6.4877801724137925</v>
      </c>
      <c r="L61" s="48">
        <f>SUM($D$12*$D$13/10^8,-SUM($L$10:$L$13))/SUM('detailed-financials'!L77,'detailed-financials'!L84,-'detailed-financials'!L57)*L20/12</f>
        <v>94.072812499999984</v>
      </c>
      <c r="M61" s="49">
        <f>SUM($D$12*$D$13/10^8,-SUM($L$10:$L$13))/SUM('detailed-financials'!M77,'detailed-financials'!M84,-'detailed-financials'!M57)*M20/12</f>
        <v>9.7830720667805036</v>
      </c>
      <c r="N61" s="49">
        <f>SUM($D$12*$D$13/10^8,-SUM($L$10:$L$13))/SUM('detailed-financials'!N77,'detailed-financials'!N84,-'detailed-financials'!N57)*N20/12</f>
        <v>14.121633006672161</v>
      </c>
      <c r="O61" s="49">
        <f>SUM($D$12*$D$13/10^8,-SUM($L$10:$L$13))/SUM('detailed-financials'!O77,'detailed-financials'!O84,-'detailed-financials'!O57)*O20/12</f>
        <v>12.606199092012085</v>
      </c>
      <c r="P61" s="49">
        <f>SUM($D$12*$D$13/10^8,-SUM($L$10:$L$13))/SUM('detailed-financials'!P77,'detailed-financials'!P84,-'detailed-financials'!P57)*P20/12</f>
        <v>11.459304979950721</v>
      </c>
      <c r="Q61" s="49">
        <f>SUM($D$12*$D$13/10^8,-SUM($L$10:$L$13))/SUM('detailed-financials'!Q77,'detailed-financials'!Q84,-'detailed-financials'!Q57)*Q20/12</f>
        <v>10.447275002783835</v>
      </c>
      <c r="R61" s="49">
        <f>SUM($D$12*$D$13/10^8,-SUM($L$10:$L$13))/SUM('detailed-financials'!R77,'detailed-financials'!R84,-'detailed-financials'!R57)*R20/12</f>
        <v>9.6789253986071628</v>
      </c>
      <c r="S61" s="49">
        <f>SUM($D$12*$D$13/10^8,-SUM($L$10:$L$13))/SUM('detailed-financials'!S77,'detailed-financials'!S84,-'detailed-financials'!S57)*S20/12</f>
        <v>9.1045897116917747</v>
      </c>
    </row>
    <row r="63" spans="2:20" x14ac:dyDescent="0.3">
      <c r="B63" s="2" t="str">
        <f>"Discounted Cash Flow ("&amp;cover!E10&amp;")"</f>
        <v>Discounted Cash Flow (£m)</v>
      </c>
      <c r="C63" s="2"/>
      <c r="D63" s="5" t="s">
        <v>79</v>
      </c>
      <c r="E63" s="5">
        <f t="shared" ref="E63:K63" si="34">YEAR(E65)</f>
        <v>2023</v>
      </c>
      <c r="F63" s="2">
        <f t="shared" si="34"/>
        <v>2024</v>
      </c>
      <c r="G63" s="2">
        <f t="shared" si="34"/>
        <v>2025</v>
      </c>
      <c r="H63" s="5">
        <f t="shared" si="34"/>
        <v>2026</v>
      </c>
      <c r="I63" s="5">
        <f t="shared" si="34"/>
        <v>2027</v>
      </c>
      <c r="J63" s="5">
        <f t="shared" si="34"/>
        <v>2028</v>
      </c>
      <c r="K63" s="5">
        <f t="shared" si="34"/>
        <v>2029</v>
      </c>
      <c r="L63" s="5" t="s">
        <v>80</v>
      </c>
    </row>
    <row r="64" spans="2:20" x14ac:dyDescent="0.3">
      <c r="E64" s="1"/>
    </row>
    <row r="65" spans="2:12" x14ac:dyDescent="0.3">
      <c r="B65" s="1" t="s">
        <v>15</v>
      </c>
      <c r="D65" s="16">
        <f>D10</f>
        <v>45035</v>
      </c>
      <c r="E65" s="16">
        <f>EOMONTH(D11,6)</f>
        <v>45138</v>
      </c>
      <c r="F65" s="16">
        <f t="shared" ref="F65:K65" si="35">DATE(YEAR(E65)+1,MONTH(E65),DAY(E65))</f>
        <v>45504</v>
      </c>
      <c r="G65" s="16">
        <f t="shared" si="35"/>
        <v>45869</v>
      </c>
      <c r="H65" s="16">
        <f t="shared" si="35"/>
        <v>46234</v>
      </c>
      <c r="I65" s="16">
        <f t="shared" si="35"/>
        <v>46599</v>
      </c>
      <c r="J65" s="16">
        <f t="shared" si="35"/>
        <v>46965</v>
      </c>
      <c r="K65" s="16">
        <f t="shared" si="35"/>
        <v>47330</v>
      </c>
      <c r="L65" s="16">
        <f>K65</f>
        <v>47330</v>
      </c>
    </row>
    <row r="66" spans="2:12" x14ac:dyDescent="0.3">
      <c r="B66" s="1" t="s">
        <v>110</v>
      </c>
      <c r="D66" s="16"/>
      <c r="E66" s="18">
        <f t="shared" ref="E66:L66" si="36">MIN(1,YEARFRAC($D$11,E65))</f>
        <v>0.5</v>
      </c>
      <c r="F66" s="18">
        <f t="shared" si="36"/>
        <v>1</v>
      </c>
      <c r="G66" s="18">
        <f t="shared" si="36"/>
        <v>1</v>
      </c>
      <c r="H66" s="18">
        <f t="shared" si="36"/>
        <v>1</v>
      </c>
      <c r="I66" s="18">
        <f t="shared" si="36"/>
        <v>1</v>
      </c>
      <c r="J66" s="18">
        <f t="shared" si="36"/>
        <v>1</v>
      </c>
      <c r="K66" s="18">
        <f t="shared" si="36"/>
        <v>1</v>
      </c>
      <c r="L66" s="18">
        <f t="shared" si="36"/>
        <v>1</v>
      </c>
    </row>
    <row r="67" spans="2:12" x14ac:dyDescent="0.3">
      <c r="B67" s="1" t="s">
        <v>81</v>
      </c>
      <c r="E67" s="36">
        <f t="shared" ref="E67:K67" si="37">IF($D$65&gt;E65,0,YEARFRAC($D$65,E65))</f>
        <v>0.28333333333333333</v>
      </c>
      <c r="F67" s="36">
        <f t="shared" si="37"/>
        <v>1.2833333333333334</v>
      </c>
      <c r="G67" s="36">
        <f t="shared" si="37"/>
        <v>2.2833333333333332</v>
      </c>
      <c r="H67" s="36">
        <f t="shared" si="37"/>
        <v>3.2833333333333332</v>
      </c>
      <c r="I67" s="36">
        <f t="shared" si="37"/>
        <v>4.2833333333333332</v>
      </c>
      <c r="J67" s="36">
        <f t="shared" si="37"/>
        <v>5.2833333333333332</v>
      </c>
      <c r="K67" s="36">
        <f t="shared" si="37"/>
        <v>6.2833333333333332</v>
      </c>
      <c r="L67" s="36">
        <f>K67</f>
        <v>6.2833333333333332</v>
      </c>
    </row>
    <row r="68" spans="2:12" x14ac:dyDescent="0.3">
      <c r="B68" s="1" t="s">
        <v>38</v>
      </c>
      <c r="D68" s="19"/>
      <c r="E68" s="24">
        <f>INDEX('detailed-financials'!$E$56:$S$56,MATCH(summary!E65,'detailed-financials'!$E$6:$S$6,0))</f>
        <v>18.042089846976758</v>
      </c>
      <c r="F68" s="24">
        <f>INDEX('detailed-financials'!$E$56:$S$56,MATCH(summary!F65,'detailed-financials'!$E$6:$S$6,0))</f>
        <v>17.320996056042574</v>
      </c>
      <c r="G68" s="24">
        <f>INDEX('detailed-financials'!$E$56:$S$56,MATCH(summary!G65,'detailed-financials'!$E$6:$S$6,0))</f>
        <v>18.952409270190586</v>
      </c>
      <c r="H68" s="24">
        <f>INDEX('detailed-financials'!$E$56:$S$56,MATCH(summary!H65,'detailed-financials'!$E$6:$S$6,0))</f>
        <v>20.452089050947812</v>
      </c>
      <c r="I68" s="24">
        <f>INDEX('detailed-financials'!$E$56:$S$56,MATCH(summary!I65,'detailed-financials'!$E$6:$S$6,0))</f>
        <v>21.685621045360438</v>
      </c>
      <c r="J68" s="24">
        <f>INDEX('detailed-financials'!$E$56:$S$56,MATCH(summary!J65,'detailed-financials'!$E$6:$S$6,0))</f>
        <v>22.627337343443909</v>
      </c>
      <c r="K68" s="24">
        <f>INDEX('detailed-financials'!$E$56:$S$56,MATCH(summary!K65,'detailed-financials'!$E$6:$S$6,0))</f>
        <v>23.255220664156433</v>
      </c>
      <c r="L68" s="64">
        <f>K68*(1+$D$9)</f>
        <v>23.720325077439561</v>
      </c>
    </row>
    <row r="69" spans="2:12" x14ac:dyDescent="0.3">
      <c r="B69" s="21" t="s">
        <v>123</v>
      </c>
      <c r="D69" s="19"/>
      <c r="E69" s="43">
        <f t="shared" ref="E69:L69" si="38">INDEX($M$30:$S$30,MATCH(E65,$M$19:$S$19,0))</f>
        <v>0.19</v>
      </c>
      <c r="F69" s="43">
        <f t="shared" si="38"/>
        <v>0.25</v>
      </c>
      <c r="G69" s="43">
        <f t="shared" si="38"/>
        <v>0.25</v>
      </c>
      <c r="H69" s="43">
        <f t="shared" si="38"/>
        <v>0.25</v>
      </c>
      <c r="I69" s="43">
        <f t="shared" si="38"/>
        <v>0.25</v>
      </c>
      <c r="J69" s="43">
        <f t="shared" si="38"/>
        <v>0.25</v>
      </c>
      <c r="K69" s="43">
        <f t="shared" si="38"/>
        <v>0.25</v>
      </c>
      <c r="L69" s="43">
        <f t="shared" si="38"/>
        <v>0.25</v>
      </c>
    </row>
    <row r="70" spans="2:12" x14ac:dyDescent="0.3">
      <c r="B70" s="1" t="s">
        <v>82</v>
      </c>
      <c r="D70" s="19"/>
      <c r="E70" s="24">
        <f t="shared" ref="E70:L70" si="39">-E68*E69</f>
        <v>-3.427997070925584</v>
      </c>
      <c r="F70" s="24">
        <f t="shared" si="39"/>
        <v>-4.3302490140106435</v>
      </c>
      <c r="G70" s="24">
        <f t="shared" si="39"/>
        <v>-4.7381023175476464</v>
      </c>
      <c r="H70" s="24">
        <f t="shared" si="39"/>
        <v>-5.113022262736953</v>
      </c>
      <c r="I70" s="24">
        <f t="shared" si="39"/>
        <v>-5.4214052613401096</v>
      </c>
      <c r="J70" s="24">
        <f t="shared" si="39"/>
        <v>-5.6568343358609772</v>
      </c>
      <c r="K70" s="24">
        <f t="shared" si="39"/>
        <v>-5.8138051660391081</v>
      </c>
      <c r="L70" s="64">
        <f t="shared" si="39"/>
        <v>-5.9300812693598903</v>
      </c>
    </row>
    <row r="71" spans="2:12" x14ac:dyDescent="0.3">
      <c r="B71" s="1" t="s">
        <v>83</v>
      </c>
      <c r="D71" s="19"/>
      <c r="E71" s="24">
        <f>-INDEX('detailed-financials'!$E$55:$S$55,MATCH(summary!E65,'detailed-financials'!$E$6:$S$6,0))</f>
        <v>1.92</v>
      </c>
      <c r="F71" s="24">
        <f>-INDEX('detailed-financials'!$E$55:$S$55,MATCH(summary!F65,'detailed-financials'!$E$6:$S$6,0))</f>
        <v>1.8364243406568519</v>
      </c>
      <c r="G71" s="24">
        <f>-INDEX('detailed-financials'!$E$55:$S$55,MATCH(summary!G65,'detailed-financials'!$E$6:$S$6,0))</f>
        <v>1.8093872944846208</v>
      </c>
      <c r="H71" s="24">
        <f>-INDEX('detailed-financials'!$E$55:$S$55,MATCH(summary!H65,'detailed-financials'!$E$6:$S$6,0))</f>
        <v>1.8198516055270517</v>
      </c>
      <c r="I71" s="24">
        <f>-INDEX('detailed-financials'!$E$55:$S$55,MATCH(summary!I65,'detailed-financials'!$E$6:$S$6,0))</f>
        <v>1.8548406482261446</v>
      </c>
      <c r="J71" s="24">
        <f>-INDEX('detailed-financials'!$E$55:$S$55,MATCH(summary!J65,'detailed-financials'!$E$6:$S$6,0))</f>
        <v>1.9025707590897976</v>
      </c>
      <c r="K71" s="24">
        <f>-INDEX('detailed-financials'!$E$55:$S$55,MATCH(summary!K65,'detailed-financials'!$E$6:$S$6,0))</f>
        <v>1.9541073058542997</v>
      </c>
      <c r="L71" s="64">
        <f>K71/$K$68*$L$68</f>
        <v>1.9931894519713858</v>
      </c>
    </row>
    <row r="72" spans="2:12" x14ac:dyDescent="0.3">
      <c r="B72" s="1" t="s">
        <v>84</v>
      </c>
      <c r="D72" s="19"/>
      <c r="E72" s="24">
        <f>INDEX('detailed-financials'!$E$80:$S$80,MATCH(summary!E65,'detailed-financials'!$E$6:$S$6,0))</f>
        <v>0</v>
      </c>
      <c r="F72" s="24">
        <f>INDEX('detailed-financials'!$E$80:$S$80,MATCH(summary!F65,'detailed-financials'!$E$6:$S$6,0))</f>
        <v>0</v>
      </c>
      <c r="G72" s="24">
        <f>INDEX('detailed-financials'!$E$80:$S$80,MATCH(summary!G65,'detailed-financials'!$E$6:$S$6,0))</f>
        <v>0</v>
      </c>
      <c r="H72" s="24">
        <f>INDEX('detailed-financials'!$E$80:$S$80,MATCH(summary!H65,'detailed-financials'!$E$6:$S$6,0))</f>
        <v>0</v>
      </c>
      <c r="I72" s="24">
        <f>INDEX('detailed-financials'!$E$80:$S$80,MATCH(summary!I65,'detailed-financials'!$E$6:$S$6,0))</f>
        <v>0</v>
      </c>
      <c r="J72" s="24">
        <f>INDEX('detailed-financials'!$E$80:$S$80,MATCH(summary!J65,'detailed-financials'!$E$6:$S$6,0))</f>
        <v>0</v>
      </c>
      <c r="K72" s="24">
        <f>INDEX('detailed-financials'!$E$80:$S$80,MATCH(summary!K65,'detailed-financials'!$E$6:$S$6,0))</f>
        <v>0</v>
      </c>
      <c r="L72" s="64">
        <f>K72/$K$68*$L$68</f>
        <v>0</v>
      </c>
    </row>
    <row r="73" spans="2:12" x14ac:dyDescent="0.3">
      <c r="B73" s="1" t="s">
        <v>85</v>
      </c>
      <c r="D73" s="19"/>
      <c r="E73" s="24">
        <f>INDEX('detailed-financials'!$E$73:$S$73,MATCH(summary!E65,'detailed-financials'!$E$6:$S$6,0))</f>
        <v>0.18501648729869657</v>
      </c>
      <c r="F73" s="24">
        <f>INDEX('detailed-financials'!$E$73:$S$73,MATCH(summary!F65,'detailed-financials'!$E$6:$S$6,0))</f>
        <v>-2.7703502061871959</v>
      </c>
      <c r="G73" s="24">
        <f>INDEX('detailed-financials'!$E$73:$S$73,MATCH(summary!G65,'detailed-financials'!$E$6:$S$6,0))</f>
        <v>-2.5876020388535181</v>
      </c>
      <c r="H73" s="24">
        <f>INDEX('detailed-financials'!$E$73:$S$73,MATCH(summary!H65,'detailed-financials'!$E$6:$S$6,0))</f>
        <v>-2.4356207782827148</v>
      </c>
      <c r="I73" s="24">
        <f>INDEX('detailed-financials'!$E$73:$S$73,MATCH(summary!I65,'detailed-financials'!$E$6:$S$6,0))</f>
        <v>-2.0459214537574617</v>
      </c>
      <c r="J73" s="24">
        <f>INDEX('detailed-financials'!$E$73:$S$73,MATCH(summary!J65,'detailed-financials'!$E$6:$S$6,0))</f>
        <v>-1.5958187339308303</v>
      </c>
      <c r="K73" s="24">
        <f>INDEX('detailed-financials'!$E$73:$S$73,MATCH(summary!K65,'detailed-financials'!$E$6:$S$6,0))</f>
        <v>-1.0957955306325076</v>
      </c>
      <c r="L73" s="64">
        <f>(L68-K68)/(K68-E68)*SUM(E73:K73)</f>
        <v>-1.101492019991803</v>
      </c>
    </row>
    <row r="74" spans="2:12" x14ac:dyDescent="0.3">
      <c r="B74" s="1" t="s">
        <v>87</v>
      </c>
      <c r="D74" s="19"/>
      <c r="E74" s="24">
        <f t="shared" ref="E74:L74" si="40">SUM(E70:E73,E68)*E66</f>
        <v>8.3595546316749356</v>
      </c>
      <c r="F74" s="24">
        <f t="shared" si="40"/>
        <v>12.056821176501586</v>
      </c>
      <c r="G74" s="24">
        <f t="shared" si="40"/>
        <v>13.436092208274042</v>
      </c>
      <c r="H74" s="24">
        <f t="shared" si="40"/>
        <v>14.723297615455195</v>
      </c>
      <c r="I74" s="24">
        <f t="shared" si="40"/>
        <v>16.073134978489012</v>
      </c>
      <c r="J74" s="24">
        <f t="shared" si="40"/>
        <v>17.277255032741898</v>
      </c>
      <c r="K74" s="24">
        <f t="shared" si="40"/>
        <v>18.299727273339116</v>
      </c>
      <c r="L74" s="24">
        <f t="shared" si="40"/>
        <v>18.681941240059253</v>
      </c>
    </row>
    <row r="75" spans="2:12" x14ac:dyDescent="0.3">
      <c r="B75" s="1" t="s">
        <v>99</v>
      </c>
      <c r="D75" s="19"/>
      <c r="E75" s="19"/>
      <c r="F75" s="19"/>
      <c r="G75" s="19"/>
      <c r="H75" s="19"/>
      <c r="I75" s="19"/>
      <c r="J75" s="19"/>
      <c r="K75" s="19"/>
      <c r="L75" s="37">
        <f>($L$74*(1+$D$9))/($D$8-$D$9)</f>
        <v>183.24792385182243</v>
      </c>
    </row>
    <row r="76" spans="2:12" x14ac:dyDescent="0.3">
      <c r="B76" s="1" t="s">
        <v>100</v>
      </c>
      <c r="D76" s="19"/>
      <c r="E76" s="24">
        <f t="shared" ref="E76:K76" si="41">E74/(1+$D$8)^E67</f>
        <v>8.0872462808134582</v>
      </c>
      <c r="F76" s="24">
        <f t="shared" si="41"/>
        <v>10.377403037217638</v>
      </c>
      <c r="G76" s="24">
        <f t="shared" si="41"/>
        <v>10.288858065775791</v>
      </c>
      <c r="H76" s="24">
        <f t="shared" si="41"/>
        <v>10.030847493395232</v>
      </c>
      <c r="I76" s="24">
        <f t="shared" si="41"/>
        <v>9.742523553810015</v>
      </c>
      <c r="J76" s="24">
        <f t="shared" si="41"/>
        <v>9.3171685619225197</v>
      </c>
      <c r="K76" s="24">
        <f t="shared" si="41"/>
        <v>8.7799524115960832</v>
      </c>
      <c r="L76" s="24">
        <f>L75/(1+$D$8)^L67</f>
        <v>87.919783006099919</v>
      </c>
    </row>
    <row r="77" spans="2:12" x14ac:dyDescent="0.3">
      <c r="D77" s="19"/>
      <c r="E77" s="20"/>
      <c r="F77" s="19"/>
      <c r="G77" s="19"/>
      <c r="H77" s="19"/>
      <c r="I77" s="19"/>
      <c r="J77" s="19"/>
    </row>
  </sheetData>
  <sheetProtection algorithmName="SHA-512" hashValue="O2ESE+HsnGxQSvzu2pqDzrT2I1Bt9/mw+TabIQKSfupt6FxpVKf8ugTEQ1h3mtx3fCT4e/1sETl58D5GQ3IuNg==" saltValue="WGJPWZakkEV4pG9oivUYTw==" spinCount="100000" sheet="1" objects="1" scenarios="1" selectLockedCells="1"/>
  <conditionalFormatting sqref="D1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2" id="{E8FF0C00-272B-44E0-9369-8764AD5348F8}">
            <xm:f>D$15&gt;cover!$E$14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E68 E71:E73</xm:sqref>
        </x14:conditionalFormatting>
        <x14:conditionalFormatting xmlns:xm="http://schemas.microsoft.com/office/excel/2006/main">
          <x14:cfRule type="expression" priority="18" id="{E3298429-3BA3-4781-AF4F-0CE3148DC9A9}">
            <xm:f>E$19&gt;cover!$E$13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E24:L39 M39:S39 E43:L48 E50:L50 E52:L52</xm:sqref>
        </x14:conditionalFormatting>
        <x14:conditionalFormatting xmlns:xm="http://schemas.microsoft.com/office/excel/2006/main">
          <x14:cfRule type="expression" priority="11" id="{699A536D-8A4B-46C5-B510-BA0959C6B272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F68:H68 F71:H73</xm:sqref>
        </x14:conditionalFormatting>
        <x14:conditionalFormatting xmlns:xm="http://schemas.microsoft.com/office/excel/2006/main">
          <x14:cfRule type="expression" priority="58" id="{E8FF0C00-272B-44E0-9369-8764AD5348F8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I68 K68 I71:I73 K71:K73</xm:sqref>
        </x14:conditionalFormatting>
        <x14:conditionalFormatting xmlns:xm="http://schemas.microsoft.com/office/excel/2006/main">
          <x14:cfRule type="expression" priority="8" id="{8B205539-E932-4649-B9DE-254DB7AA75FF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J68 J71:J73</xm:sqref>
        </x14:conditionalFormatting>
        <x14:conditionalFormatting xmlns:xm="http://schemas.microsoft.com/office/excel/2006/main">
          <x14:cfRule type="expression" priority="64" id="{E3298429-3BA3-4781-AF4F-0CE3148DC9A9}">
            <xm:f>T$19&lt;cover!$E$13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M24:S24 M35:S36 M38:S39</xm:sqref>
        </x14:conditionalFormatting>
        <x14:conditionalFormatting xmlns:xm="http://schemas.microsoft.com/office/excel/2006/main">
          <x14:cfRule type="expression" priority="4" id="{D099510A-92A1-483C-B2CA-A57978D55279}">
            <xm:f>T$19&lt;cover!$E$13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M26:S33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3B2A8-5C40-4A5F-9E02-CB49A082C27D}">
  <sheetPr>
    <tabColor theme="4" tint="0.79998168889431442"/>
  </sheetPr>
  <dimension ref="A1:I26"/>
  <sheetViews>
    <sheetView workbookViewId="0">
      <selection activeCell="E14" sqref="E14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5" width="12.6640625" style="8" customWidth="1"/>
    <col min="6" max="9" width="12.6640625" style="1" customWidth="1"/>
    <col min="10" max="10" width="14.33203125" style="1" bestFit="1" customWidth="1"/>
    <col min="11" max="50" width="12.6640625" style="1" customWidth="1"/>
    <col min="51" max="16384" width="9.109375" style="1"/>
  </cols>
  <sheetData>
    <row r="1" spans="1:9" ht="33.6" x14ac:dyDescent="0.65">
      <c r="B1" s="67" t="s">
        <v>135</v>
      </c>
    </row>
    <row r="2" spans="1:9" s="15" customFormat="1" ht="15" thickBot="1" x14ac:dyDescent="0.35">
      <c r="A2" s="13"/>
      <c r="B2" s="14" t="str">
        <f>UPPER(cover!E8&amp;" - "&amp;DAY(cover!E12)&amp;"/"&amp;MONTH(cover!E12)&amp;"/"&amp;YEAR(cover!E12))</f>
        <v>UP GLOBAL SOURCING HOLDINGS PLC - 19/4/2023</v>
      </c>
      <c r="E2" s="13"/>
    </row>
    <row r="3" spans="1:9" ht="15" thickTop="1" x14ac:dyDescent="0.3">
      <c r="B3" s="25" t="str">
        <f>IF(checks!E10&lt;&gt;0,"**ERROR**","")</f>
        <v/>
      </c>
    </row>
    <row r="4" spans="1:9" s="3" customFormat="1" x14ac:dyDescent="0.3">
      <c r="A4" s="5"/>
      <c r="B4" s="2" t="s">
        <v>59</v>
      </c>
      <c r="E4" s="4"/>
    </row>
    <row r="6" spans="1:9" x14ac:dyDescent="0.3">
      <c r="B6" s="2" t="s">
        <v>114</v>
      </c>
      <c r="C6" s="3"/>
      <c r="D6" s="3"/>
      <c r="E6" s="4"/>
      <c r="F6" s="4"/>
      <c r="G6" s="4"/>
      <c r="H6" s="4"/>
      <c r="I6" s="4"/>
    </row>
    <row r="8" spans="1:9" x14ac:dyDescent="0.3">
      <c r="B8" s="2" t="s">
        <v>94</v>
      </c>
      <c r="C8" s="3"/>
      <c r="D8" s="3"/>
      <c r="E8" s="4"/>
      <c r="G8" s="2" t="s">
        <v>59</v>
      </c>
      <c r="H8" s="2"/>
      <c r="I8" s="5"/>
    </row>
    <row r="10" spans="1:9" x14ac:dyDescent="0.3">
      <c r="B10" s="1" t="s">
        <v>72</v>
      </c>
      <c r="E10" s="65">
        <v>4.1820000000000003E-2</v>
      </c>
      <c r="G10" s="1" t="s">
        <v>60</v>
      </c>
      <c r="I10" s="34">
        <f>E16</f>
        <v>1.22</v>
      </c>
    </row>
    <row r="11" spans="1:9" x14ac:dyDescent="0.3">
      <c r="B11" s="1" t="s">
        <v>73</v>
      </c>
      <c r="E11" s="65">
        <v>6.9699999999999998E-2</v>
      </c>
      <c r="F11" s="42"/>
      <c r="G11" s="1" t="s">
        <v>61</v>
      </c>
      <c r="I11" s="32">
        <f>-SUM(summary!L10:L12)/WACC!E13</f>
        <v>0.15498318557016205</v>
      </c>
    </row>
    <row r="12" spans="1:9" x14ac:dyDescent="0.3">
      <c r="B12" s="1" t="s">
        <v>74</v>
      </c>
      <c r="E12" s="65">
        <f>summary!M29</f>
        <v>5.5626621833997296E-2</v>
      </c>
      <c r="G12" s="1" t="s">
        <v>62</v>
      </c>
      <c r="I12" s="35">
        <f>$E$15</f>
        <v>0.25</v>
      </c>
    </row>
    <row r="13" spans="1:9" x14ac:dyDescent="0.3">
      <c r="B13" s="1" t="s">
        <v>306</v>
      </c>
      <c r="E13" s="60">
        <v>130.84</v>
      </c>
      <c r="G13" s="1" t="s">
        <v>63</v>
      </c>
      <c r="I13" s="31">
        <f>I10*(1+(1-I12)*(I11))</f>
        <v>1.3618096147966983</v>
      </c>
    </row>
    <row r="14" spans="1:9" x14ac:dyDescent="0.3">
      <c r="B14" s="1" t="s">
        <v>307</v>
      </c>
      <c r="E14" s="66">
        <v>146.5</v>
      </c>
    </row>
    <row r="15" spans="1:9" x14ac:dyDescent="0.3">
      <c r="B15" s="1" t="s">
        <v>95</v>
      </c>
      <c r="E15" s="65">
        <v>0.25</v>
      </c>
      <c r="G15" s="1" t="s">
        <v>64</v>
      </c>
      <c r="I15" s="35">
        <f>WACC!$E$10</f>
        <v>4.1820000000000003E-2</v>
      </c>
    </row>
    <row r="16" spans="1:9" x14ac:dyDescent="0.3">
      <c r="B16" s="1" t="s">
        <v>96</v>
      </c>
      <c r="E16" s="66">
        <v>1.22</v>
      </c>
      <c r="G16" s="1" t="s">
        <v>65</v>
      </c>
      <c r="I16" s="35">
        <f>WACC!$E$11</f>
        <v>6.9699999999999998E-2</v>
      </c>
    </row>
    <row r="17" spans="2:9" x14ac:dyDescent="0.3">
      <c r="B17" s="1" t="s">
        <v>97</v>
      </c>
      <c r="E17" s="65">
        <v>0</v>
      </c>
      <c r="G17" s="1" t="s">
        <v>66</v>
      </c>
      <c r="I17" s="40">
        <f>$E$17</f>
        <v>0</v>
      </c>
    </row>
    <row r="18" spans="2:9" x14ac:dyDescent="0.3">
      <c r="E18" s="1"/>
      <c r="G18" s="1" t="s">
        <v>67</v>
      </c>
      <c r="I18" s="32">
        <f>I16*I13+I15+I17</f>
        <v>0.13673813015132988</v>
      </c>
    </row>
    <row r="19" spans="2:9" x14ac:dyDescent="0.3">
      <c r="E19" s="1"/>
      <c r="G19" s="1" t="s">
        <v>68</v>
      </c>
      <c r="I19" s="59">
        <f>I18</f>
        <v>0.13673813015132988</v>
      </c>
    </row>
    <row r="20" spans="2:9" x14ac:dyDescent="0.3">
      <c r="E20" s="1"/>
      <c r="I20" s="33"/>
    </row>
    <row r="21" spans="2:9" x14ac:dyDescent="0.3">
      <c r="E21" s="1"/>
      <c r="G21" s="1" t="s">
        <v>69</v>
      </c>
      <c r="I21" s="35">
        <f>WACC!$E$12</f>
        <v>5.5626621833997296E-2</v>
      </c>
    </row>
    <row r="22" spans="2:9" x14ac:dyDescent="0.3">
      <c r="E22" s="1"/>
      <c r="G22" s="1" t="s">
        <v>70</v>
      </c>
      <c r="I22" s="32">
        <f>I21*(1-I12)</f>
        <v>4.171996637549797E-2</v>
      </c>
    </row>
    <row r="23" spans="2:9" x14ac:dyDescent="0.3">
      <c r="E23" s="1"/>
      <c r="I23" s="33"/>
    </row>
    <row r="24" spans="2:9" x14ac:dyDescent="0.3">
      <c r="E24" s="1"/>
      <c r="G24" s="1" t="s">
        <v>59</v>
      </c>
      <c r="I24" s="32">
        <f>(I11/(1+I11))*I22+((1-I11/(1+I11))*I19)</f>
        <v>0.12398797249276955</v>
      </c>
    </row>
    <row r="25" spans="2:9" x14ac:dyDescent="0.3">
      <c r="E25" s="1"/>
      <c r="G25" s="1" t="s">
        <v>71</v>
      </c>
      <c r="I25" s="59">
        <f>I24</f>
        <v>0.12398797249276955</v>
      </c>
    </row>
    <row r="26" spans="2:9" x14ac:dyDescent="0.3">
      <c r="E26" s="1"/>
    </row>
  </sheetData>
  <sheetProtection algorithmName="SHA-512" hashValue="XIF9JVopKf+U6e7hbnczS00Mq59orUCtQgzaKmUhjtBkN74ABBdeB02afOm9TM/wPlmI6DrWVBV+6cQnghX1ww==" saltValue="SrkeD/8/M90gj28HONDgPQ==" spinCount="100000" sheet="1" objects="1" scenarios="1" selectLockedCells="1"/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4A531-A092-4387-AB46-45A4AD3DAB9E}">
  <sheetPr>
    <tabColor theme="4" tint="0.79998168889431442"/>
  </sheetPr>
  <dimension ref="A1:S99"/>
  <sheetViews>
    <sheetView zoomScale="74" zoomScaleNormal="100" workbookViewId="0">
      <pane xSplit="4" ySplit="7" topLeftCell="E19" activePane="bottomRight" state="frozen"/>
      <selection activeCell="E9" sqref="E9"/>
      <selection pane="topRight" activeCell="E9" sqref="E9"/>
      <selection pane="bottomLeft" activeCell="E9" sqref="E9"/>
      <selection pane="bottomRight" activeCell="M19" sqref="M19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6" width="12.6640625" style="8" customWidth="1"/>
    <col min="7" max="52" width="12.6640625" style="1" customWidth="1"/>
    <col min="53" max="16384" width="9.109375" style="1"/>
  </cols>
  <sheetData>
    <row r="1" spans="1:19" ht="33.6" x14ac:dyDescent="0.65">
      <c r="B1" s="67" t="s">
        <v>135</v>
      </c>
    </row>
    <row r="2" spans="1:19" s="15" customFormat="1" ht="15" thickBot="1" x14ac:dyDescent="0.35">
      <c r="A2" s="13"/>
      <c r="B2" s="14" t="str">
        <f>UPPER(cover!E8&amp;" - "&amp;DAY(cover!E12)&amp;"/"&amp;MONTH(cover!E12)&amp;"/"&amp;YEAR(cover!E12))</f>
        <v>UP GLOBAL SOURCING HOLDINGS PLC - 19/4/2023</v>
      </c>
      <c r="E2" s="13"/>
      <c r="F2" s="13"/>
    </row>
    <row r="3" spans="1:19" ht="15" thickTop="1" x14ac:dyDescent="0.3">
      <c r="B3" s="25" t="str">
        <f>IF(checks!E10&lt;&gt;0,"**ERROR**","")</f>
        <v/>
      </c>
    </row>
    <row r="4" spans="1:19" s="3" customFormat="1" x14ac:dyDescent="0.3">
      <c r="A4" s="5"/>
      <c r="B4" s="2" t="s">
        <v>14</v>
      </c>
      <c r="D4" s="5" t="str">
        <f>cover!$E$10</f>
        <v>£m</v>
      </c>
      <c r="E4" s="4"/>
      <c r="F4" s="4"/>
    </row>
    <row r="6" spans="1:19" x14ac:dyDescent="0.3">
      <c r="B6" s="1" t="s">
        <v>15</v>
      </c>
      <c r="D6" s="16"/>
      <c r="E6" s="16">
        <v>42216</v>
      </c>
      <c r="F6" s="16">
        <v>42582</v>
      </c>
      <c r="G6" s="16">
        <v>42947</v>
      </c>
      <c r="H6" s="16">
        <v>43312</v>
      </c>
      <c r="I6" s="16">
        <v>43677</v>
      </c>
      <c r="J6" s="16">
        <v>44043</v>
      </c>
      <c r="K6" s="16">
        <v>44408</v>
      </c>
      <c r="L6" s="16">
        <v>44773</v>
      </c>
      <c r="M6" s="16">
        <f>EOMONTH(L6,12)</f>
        <v>45138</v>
      </c>
      <c r="N6" s="16">
        <f t="shared" ref="N6:S6" si="0">EOMONTH(M6,12)</f>
        <v>45504</v>
      </c>
      <c r="O6" s="16">
        <f t="shared" si="0"/>
        <v>45869</v>
      </c>
      <c r="P6" s="16">
        <f t="shared" si="0"/>
        <v>46234</v>
      </c>
      <c r="Q6" s="16">
        <f t="shared" si="0"/>
        <v>46599</v>
      </c>
      <c r="R6" s="16">
        <f t="shared" si="0"/>
        <v>46965</v>
      </c>
      <c r="S6" s="16">
        <f t="shared" si="0"/>
        <v>47330</v>
      </c>
    </row>
    <row r="7" spans="1:19" x14ac:dyDescent="0.3">
      <c r="B7" s="1" t="s">
        <v>43</v>
      </c>
      <c r="E7" s="1">
        <v>12</v>
      </c>
      <c r="F7" s="1">
        <f t="shared" ref="F7" si="1">YEAR(F6)*12+MONTH(F6)-YEAR(E6)*12-MONTH(E6)</f>
        <v>12</v>
      </c>
      <c r="G7" s="1">
        <f t="shared" ref="G7" si="2">YEAR(G6)*12+MONTH(G6)-YEAR(F6)*12-MONTH(F6)</f>
        <v>12</v>
      </c>
      <c r="H7" s="1">
        <f t="shared" ref="H7" si="3">YEAR(H6)*12+MONTH(H6)-YEAR(G6)*12-MONTH(G6)</f>
        <v>12</v>
      </c>
      <c r="I7" s="1">
        <f t="shared" ref="I7" si="4">YEAR(I6)*12+MONTH(I6)-YEAR(H6)*12-MONTH(H6)</f>
        <v>12</v>
      </c>
      <c r="J7" s="1">
        <f t="shared" ref="J7" si="5">YEAR(J6)*12+MONTH(J6)-YEAR(I6)*12-MONTH(I6)</f>
        <v>12</v>
      </c>
      <c r="K7" s="1">
        <f t="shared" ref="K7" si="6">YEAR(K6)*12+MONTH(K6)-YEAR(J6)*12-MONTH(J6)</f>
        <v>12</v>
      </c>
      <c r="L7" s="1">
        <f t="shared" ref="L7" si="7">YEAR(L6)*12+MONTH(L6)-YEAR(K6)*12-MONTH(K6)</f>
        <v>12</v>
      </c>
      <c r="M7" s="1">
        <f>YEAR(M6)*12+MONTH(M6)-YEAR(L6)*12-MONTH(L6)</f>
        <v>12</v>
      </c>
      <c r="N7" s="1">
        <f t="shared" ref="N7" si="8">YEAR(N6)*12+MONTH(N6)-YEAR(M6)*12-MONTH(M6)</f>
        <v>12</v>
      </c>
      <c r="O7" s="1">
        <f t="shared" ref="O7" si="9">YEAR(O6)*12+MONTH(O6)-YEAR(N6)*12-MONTH(N6)</f>
        <v>12</v>
      </c>
      <c r="P7" s="1">
        <f t="shared" ref="P7" si="10">YEAR(P6)*12+MONTH(P6)-YEAR(O6)*12-MONTH(O6)</f>
        <v>12</v>
      </c>
      <c r="Q7" s="1">
        <f t="shared" ref="Q7" si="11">YEAR(Q6)*12+MONTH(Q6)-YEAR(P6)*12-MONTH(P6)</f>
        <v>12</v>
      </c>
      <c r="R7" s="1">
        <f t="shared" ref="R7" si="12">YEAR(R6)*12+MONTH(R6)-YEAR(Q6)*12-MONTH(Q6)</f>
        <v>12</v>
      </c>
      <c r="S7" s="1">
        <f t="shared" ref="S7" si="13">YEAR(S6)*12+MONTH(S6)-YEAR(R6)*12-MONTH(R6)</f>
        <v>12</v>
      </c>
    </row>
    <row r="10" spans="1:19" x14ac:dyDescent="0.3">
      <c r="B10" s="2" t="s">
        <v>31</v>
      </c>
      <c r="C10" s="3"/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5"/>
      <c r="R10" s="5"/>
      <c r="S10" s="5"/>
    </row>
    <row r="12" spans="1:19" x14ac:dyDescent="0.3">
      <c r="B12" s="1" t="s">
        <v>207</v>
      </c>
      <c r="E12" s="56">
        <f>INDEX(bs!$B$4:$X$68,MATCH($B12,bs!$A$4:$A$68,0),MATCH(E$6,bs!$B$3:$X$3,0))</f>
        <v>0.1</v>
      </c>
      <c r="F12" s="56">
        <f>INDEX(bs!$B$4:$X$68,MATCH($B12,bs!$A$4:$A$68,0),MATCH(F$6,bs!$B$3:$X$3,0))</f>
        <v>0.1</v>
      </c>
      <c r="G12" s="56">
        <f>INDEX(bs!$B$4:$X$68,MATCH($B12,bs!$A$4:$A$68,0),MATCH(G$6,bs!$B$3:$X$3,0))</f>
        <v>0.1</v>
      </c>
      <c r="H12" s="56">
        <f>INDEX(bs!$B$4:$X$68,MATCH($B12,bs!$A$4:$A$68,0),MATCH(H$6,bs!$B$3:$X$3,0))</f>
        <v>0.1</v>
      </c>
      <c r="I12" s="56">
        <f>INDEX(bs!$B$4:$X$68,MATCH($B12,bs!$A$4:$A$68,0),MATCH(I$6,bs!$B$3:$X$3,0))</f>
        <v>0.1</v>
      </c>
      <c r="J12" s="56">
        <f>INDEX(bs!$B$4:$X$68,MATCH($B12,bs!$A$4:$A$68,0),MATCH(J$6,bs!$B$3:$X$3,0))</f>
        <v>0.3</v>
      </c>
      <c r="K12" s="56">
        <f>INDEX(bs!$B$4:$X$68,MATCH($B12,bs!$A$4:$A$68,0),MATCH(K$6,bs!$B$3:$X$3,0))</f>
        <v>0.1</v>
      </c>
      <c r="L12" s="56">
        <f>INDEX(bs!$B$4:$X$68,MATCH($B12,bs!$A$4:$A$68,0),MATCH(L$6,bs!$B$3:$X$3,0))</f>
        <v>6.2</v>
      </c>
      <c r="M12" s="28">
        <f>M96</f>
        <v>5.042745451897737</v>
      </c>
      <c r="N12" s="28">
        <f>N96</f>
        <v>8.3358085947442948</v>
      </c>
      <c r="O12" s="28">
        <f>O96</f>
        <v>12.298395336181164</v>
      </c>
      <c r="P12" s="28">
        <f>P96</f>
        <v>16.893594150450589</v>
      </c>
      <c r="Q12" s="28">
        <f>Q96</f>
        <v>22.298596559934794</v>
      </c>
      <c r="R12" s="28">
        <f t="shared" ref="R12:S12" si="14">R96</f>
        <v>28.494157181357437</v>
      </c>
      <c r="S12" s="28">
        <f t="shared" si="14"/>
        <v>35.43524661314401</v>
      </c>
    </row>
    <row r="13" spans="1:19" x14ac:dyDescent="0.3">
      <c r="B13" s="1" t="s">
        <v>16</v>
      </c>
      <c r="E13" s="56">
        <f>E16-E12-E14-E15</f>
        <v>18.7</v>
      </c>
      <c r="F13" s="56">
        <f t="shared" ref="F13:L13" si="15">F16-F12-F14-F15</f>
        <v>26.799999999999997</v>
      </c>
      <c r="G13" s="56">
        <f t="shared" si="15"/>
        <v>23.299999999999997</v>
      </c>
      <c r="H13" s="56">
        <f t="shared" si="15"/>
        <v>31.199999999999996</v>
      </c>
      <c r="I13" s="56">
        <f t="shared" si="15"/>
        <v>39.1</v>
      </c>
      <c r="J13" s="56">
        <f t="shared" si="15"/>
        <v>34.5</v>
      </c>
      <c r="K13" s="56">
        <f t="shared" si="15"/>
        <v>48.3</v>
      </c>
      <c r="L13" s="56">
        <f t="shared" si="15"/>
        <v>61.4</v>
      </c>
      <c r="M13" s="28">
        <f>M49*summary!M31/365</f>
        <v>56.780736796476752</v>
      </c>
      <c r="N13" s="28">
        <f>N49*summary!M31/365*12/N7</f>
        <v>60.409025877771619</v>
      </c>
      <c r="O13" s="28">
        <f>O49*summary!N31/365*12/O7</f>
        <v>63.797972229514613</v>
      </c>
      <c r="P13" s="28">
        <f>P49*summary!O31/365</f>
        <v>66.987870840990354</v>
      </c>
      <c r="Q13" s="28">
        <f>Q49*summary!P31/365</f>
        <v>69.667385674629955</v>
      </c>
      <c r="R13" s="28">
        <f>R49*summary!Q31/365</f>
        <v>71.757407244868858</v>
      </c>
      <c r="S13" s="28">
        <f>S49*summary!R31/365</f>
        <v>73.192555389766241</v>
      </c>
    </row>
    <row r="14" spans="1:19" x14ac:dyDescent="0.3">
      <c r="B14" s="1" t="s">
        <v>206</v>
      </c>
      <c r="E14" s="56">
        <f>INDEX(bs!$B$4:$X$68,MATCH($B14,bs!$A$4:$A$68,0),MATCH(E$6,bs!$B$3:$X$3,0))</f>
        <v>0</v>
      </c>
      <c r="F14" s="56">
        <f>INDEX(bs!$B$4:$X$68,MATCH($B14,bs!$A$4:$A$68,0),MATCH(F$6,bs!$B$3:$X$3,0))</f>
        <v>0</v>
      </c>
      <c r="G14" s="56">
        <f>INDEX(bs!$B$4:$X$68,MATCH($B14,bs!$A$4:$A$68,0),MATCH(G$6,bs!$B$3:$X$3,0))</f>
        <v>0</v>
      </c>
      <c r="H14" s="56">
        <f>INDEX(bs!$B$4:$X$68,MATCH($B14,bs!$A$4:$A$68,0),MATCH(H$6,bs!$B$3:$X$3,0))</f>
        <v>0</v>
      </c>
      <c r="I14" s="56">
        <f>INDEX(bs!$B$4:$X$68,MATCH($B14,bs!$A$4:$A$68,0),MATCH(I$6,bs!$B$3:$X$3,0))</f>
        <v>0</v>
      </c>
      <c r="J14" s="56">
        <f>INDEX(bs!$B$4:$X$68,MATCH($B14,bs!$A$4:$A$68,0),MATCH(J$6,bs!$B$3:$X$3,0))</f>
        <v>0</v>
      </c>
      <c r="K14" s="56">
        <f>INDEX(bs!$B$4:$X$68,MATCH($B14,bs!$A$4:$A$68,0),MATCH(K$6,bs!$B$3:$X$3,0))</f>
        <v>0</v>
      </c>
      <c r="L14" s="56">
        <f>INDEX(bs!$B$4:$X$68,MATCH($B14,bs!$A$4:$A$68,0),MATCH(L$6,bs!$B$3:$X$3,0))</f>
        <v>0</v>
      </c>
      <c r="M14" s="28">
        <f>L14</f>
        <v>0</v>
      </c>
      <c r="N14" s="28">
        <f t="shared" ref="N14:S15" si="16">M14</f>
        <v>0</v>
      </c>
      <c r="O14" s="28">
        <f t="shared" si="16"/>
        <v>0</v>
      </c>
      <c r="P14" s="28">
        <f t="shared" si="16"/>
        <v>0</v>
      </c>
      <c r="Q14" s="28">
        <f t="shared" si="16"/>
        <v>0</v>
      </c>
      <c r="R14" s="28">
        <f t="shared" si="16"/>
        <v>0</v>
      </c>
      <c r="S14" s="28">
        <f t="shared" si="16"/>
        <v>0</v>
      </c>
    </row>
    <row r="15" spans="1:19" x14ac:dyDescent="0.3">
      <c r="B15" s="1" t="s">
        <v>208</v>
      </c>
      <c r="E15" s="56">
        <f>INDEX(bs!$B$4:$X$68,MATCH($B15,bs!$A$4:$A$68,0),MATCH(E$6,bs!$B$3:$X$3,0))</f>
        <v>0</v>
      </c>
      <c r="F15" s="56">
        <f>INDEX(bs!$B$4:$X$68,MATCH($B15,bs!$A$4:$A$68,0),MATCH(F$6,bs!$B$3:$X$3,0))</f>
        <v>0</v>
      </c>
      <c r="G15" s="56">
        <f>INDEX(bs!$B$4:$X$68,MATCH($B15,bs!$A$4:$A$68,0),MATCH(G$6,bs!$B$3:$X$3,0))</f>
        <v>0</v>
      </c>
      <c r="H15" s="56">
        <f>INDEX(bs!$B$4:$X$68,MATCH($B15,bs!$A$4:$A$68,0),MATCH(H$6,bs!$B$3:$X$3,0))</f>
        <v>1</v>
      </c>
      <c r="I15" s="56">
        <f>INDEX(bs!$B$4:$X$68,MATCH($B15,bs!$A$4:$A$68,0),MATCH(I$6,bs!$B$3:$X$3,0))</f>
        <v>1.3</v>
      </c>
      <c r="J15" s="56">
        <f>INDEX(bs!$B$4:$X$68,MATCH($B15,bs!$A$4:$A$68,0),MATCH(J$6,bs!$B$3:$X$3,0))</f>
        <v>0.1</v>
      </c>
      <c r="K15" s="56">
        <f>INDEX(bs!$B$4:$X$68,MATCH($B15,bs!$A$4:$A$68,0),MATCH(K$6,bs!$B$3:$X$3,0))</f>
        <v>0.4</v>
      </c>
      <c r="L15" s="56">
        <f>INDEX(bs!$B$4:$X$68,MATCH($B15,bs!$A$4:$A$68,0),MATCH(L$6,bs!$B$3:$X$3,0))</f>
        <v>4.0999999999999996</v>
      </c>
      <c r="M15" s="28">
        <f>L15</f>
        <v>4.0999999999999996</v>
      </c>
      <c r="N15" s="28">
        <f t="shared" si="16"/>
        <v>4.0999999999999996</v>
      </c>
      <c r="O15" s="28">
        <f t="shared" si="16"/>
        <v>4.0999999999999996</v>
      </c>
      <c r="P15" s="28">
        <f t="shared" si="16"/>
        <v>4.0999999999999996</v>
      </c>
      <c r="Q15" s="28">
        <f t="shared" si="16"/>
        <v>4.0999999999999996</v>
      </c>
      <c r="R15" s="28">
        <f t="shared" si="16"/>
        <v>4.0999999999999996</v>
      </c>
      <c r="S15" s="28">
        <f t="shared" si="16"/>
        <v>4.0999999999999996</v>
      </c>
    </row>
    <row r="16" spans="1:19" ht="15" thickBot="1" x14ac:dyDescent="0.35">
      <c r="B16" s="17" t="s">
        <v>209</v>
      </c>
      <c r="C16" s="17"/>
      <c r="D16" s="17"/>
      <c r="E16" s="81">
        <f>INDEX(bs!$B$4:$X$68,MATCH($B16,bs!$A$4:$A$68,0),MATCH(E$6,bs!$B$3:$X$3,0))</f>
        <v>18.8</v>
      </c>
      <c r="F16" s="81">
        <f>INDEX(bs!$B$4:$X$68,MATCH($B16,bs!$A$4:$A$68,0),MATCH(F$6,bs!$B$3:$X$3,0))</f>
        <v>26.9</v>
      </c>
      <c r="G16" s="81">
        <f>INDEX(bs!$B$4:$X$68,MATCH($B16,bs!$A$4:$A$68,0),MATCH(G$6,bs!$B$3:$X$3,0))</f>
        <v>23.4</v>
      </c>
      <c r="H16" s="81">
        <f>INDEX(bs!$B$4:$X$68,MATCH($B16,bs!$A$4:$A$68,0),MATCH(H$6,bs!$B$3:$X$3,0))</f>
        <v>32.299999999999997</v>
      </c>
      <c r="I16" s="81">
        <f>INDEX(bs!$B$4:$X$68,MATCH($B16,bs!$A$4:$A$68,0),MATCH(I$6,bs!$B$3:$X$3,0))</f>
        <v>40.5</v>
      </c>
      <c r="J16" s="81">
        <f>INDEX(bs!$B$4:$X$68,MATCH($B16,bs!$A$4:$A$68,0),MATCH(J$6,bs!$B$3:$X$3,0))</f>
        <v>34.9</v>
      </c>
      <c r="K16" s="81">
        <f>INDEX(bs!$B$4:$X$68,MATCH($B16,bs!$A$4:$A$68,0),MATCH(K$6,bs!$B$3:$X$3,0))</f>
        <v>48.8</v>
      </c>
      <c r="L16" s="81">
        <f>INDEX(bs!$B$4:$X$68,MATCH($B16,bs!$A$4:$A$68,0),MATCH(L$6,bs!$B$3:$X$3,0))</f>
        <v>71.7</v>
      </c>
      <c r="M16" s="82">
        <f>SUM(M12:M15)</f>
        <v>65.923482248374484</v>
      </c>
      <c r="N16" s="82">
        <f t="shared" ref="N16:S16" si="17">SUM(N12:N15)</f>
        <v>72.844834472515913</v>
      </c>
      <c r="O16" s="82">
        <f t="shared" si="17"/>
        <v>80.196367565695766</v>
      </c>
      <c r="P16" s="82">
        <f t="shared" si="17"/>
        <v>87.98146499144093</v>
      </c>
      <c r="Q16" s="82">
        <f t="shared" si="17"/>
        <v>96.065982234564743</v>
      </c>
      <c r="R16" s="82">
        <f t="shared" si="17"/>
        <v>104.35156442622629</v>
      </c>
      <c r="S16" s="82">
        <f t="shared" si="17"/>
        <v>112.72780200291024</v>
      </c>
    </row>
    <row r="17" spans="2:19" ht="15" thickTop="1" x14ac:dyDescent="0.3">
      <c r="B17" s="1" t="s">
        <v>210</v>
      </c>
      <c r="E17" s="56">
        <f>INDEX(bs!$B$4:$X$68,MATCH($B17,bs!$A$4:$A$68,0),MATCH(E$6,bs!$B$3:$X$3,0))</f>
        <v>0</v>
      </c>
      <c r="F17" s="56">
        <f>INDEX(bs!$B$4:$X$68,MATCH($B17,bs!$A$4:$A$68,0),MATCH(F$6,bs!$B$3:$X$3,0))</f>
        <v>0</v>
      </c>
      <c r="G17" s="56">
        <f>INDEX(bs!$B$4:$X$68,MATCH($B17,bs!$A$4:$A$68,0),MATCH(G$6,bs!$B$3:$X$3,0))</f>
        <v>0</v>
      </c>
      <c r="H17" s="56">
        <f>INDEX(bs!$B$4:$X$68,MATCH($B17,bs!$A$4:$A$68,0),MATCH(H$6,bs!$B$3:$X$3,0))</f>
        <v>0</v>
      </c>
      <c r="I17" s="56">
        <f>INDEX(bs!$B$4:$X$68,MATCH($B17,bs!$A$4:$A$68,0),MATCH(I$6,bs!$B$3:$X$3,0))</f>
        <v>0</v>
      </c>
      <c r="J17" s="56">
        <f>INDEX(bs!$B$4:$X$68,MATCH($B17,bs!$A$4:$A$68,0),MATCH(J$6,bs!$B$3:$X$3,0))</f>
        <v>0</v>
      </c>
      <c r="K17" s="56">
        <f>INDEX(bs!$B$4:$X$68,MATCH($B17,bs!$A$4:$A$68,0),MATCH(K$6,bs!$B$3:$X$3,0))</f>
        <v>9.6999999999999993</v>
      </c>
      <c r="L17" s="56">
        <f>INDEX(bs!$B$4:$X$68,MATCH($B17,bs!$A$4:$A$68,0),MATCH(L$6,bs!$B$3:$X$3,0))</f>
        <v>9.8000000000000007</v>
      </c>
      <c r="M17" s="28">
        <f>L17</f>
        <v>9.8000000000000007</v>
      </c>
      <c r="N17" s="28">
        <f t="shared" ref="N17:O18" si="18">M17</f>
        <v>9.8000000000000007</v>
      </c>
      <c r="O17" s="28">
        <f t="shared" si="18"/>
        <v>9.8000000000000007</v>
      </c>
      <c r="P17" s="28">
        <f t="shared" ref="P17:S18" si="19">O17</f>
        <v>9.8000000000000007</v>
      </c>
      <c r="Q17" s="28">
        <f t="shared" si="19"/>
        <v>9.8000000000000007</v>
      </c>
      <c r="R17" s="28">
        <f t="shared" si="19"/>
        <v>9.8000000000000007</v>
      </c>
      <c r="S17" s="28">
        <f t="shared" si="19"/>
        <v>9.8000000000000007</v>
      </c>
    </row>
    <row r="18" spans="2:19" x14ac:dyDescent="0.3">
      <c r="B18" s="1" t="s">
        <v>211</v>
      </c>
      <c r="E18" s="56">
        <f>INDEX(bs!$B$4:$X$68,MATCH($B18,bs!$A$4:$A$68,0),MATCH(E$6,bs!$B$3:$X$3,0))</f>
        <v>0</v>
      </c>
      <c r="F18" s="56">
        <f>INDEX(bs!$B$4:$X$68,MATCH($B18,bs!$A$4:$A$68,0),MATCH(F$6,bs!$B$3:$X$3,0))</f>
        <v>0</v>
      </c>
      <c r="G18" s="56">
        <f>INDEX(bs!$B$4:$X$68,MATCH($B18,bs!$A$4:$A$68,0),MATCH(G$6,bs!$B$3:$X$3,0))</f>
        <v>0</v>
      </c>
      <c r="H18" s="56">
        <f>INDEX(bs!$B$4:$X$68,MATCH($B18,bs!$A$4:$A$68,0),MATCH(H$6,bs!$B$3:$X$3,0))</f>
        <v>0.1</v>
      </c>
      <c r="I18" s="56">
        <f>INDEX(bs!$B$4:$X$68,MATCH($B18,bs!$A$4:$A$68,0),MATCH(I$6,bs!$B$3:$X$3,0))</f>
        <v>0.1</v>
      </c>
      <c r="J18" s="56">
        <f>INDEX(bs!$B$4:$X$68,MATCH($B18,bs!$A$4:$A$68,0),MATCH(J$6,bs!$B$3:$X$3,0))</f>
        <v>0.1</v>
      </c>
      <c r="K18" s="56">
        <f>INDEX(bs!$B$4:$X$68,MATCH($B18,bs!$A$4:$A$68,0),MATCH(K$6,bs!$B$3:$X$3,0))</f>
        <v>27.3</v>
      </c>
      <c r="L18" s="56">
        <f>INDEX(bs!$B$4:$X$68,MATCH($B18,bs!$A$4:$A$68,0),MATCH(L$6,bs!$B$3:$X$3,0))</f>
        <v>27.2</v>
      </c>
      <c r="M18" s="28">
        <f>L18</f>
        <v>27.2</v>
      </c>
      <c r="N18" s="28">
        <f t="shared" si="18"/>
        <v>27.2</v>
      </c>
      <c r="O18" s="28">
        <f t="shared" si="18"/>
        <v>27.2</v>
      </c>
      <c r="P18" s="28">
        <f t="shared" si="19"/>
        <v>27.2</v>
      </c>
      <c r="Q18" s="28">
        <f t="shared" si="19"/>
        <v>27.2</v>
      </c>
      <c r="R18" s="28">
        <f t="shared" si="19"/>
        <v>27.2</v>
      </c>
      <c r="S18" s="28">
        <f t="shared" si="19"/>
        <v>27.2</v>
      </c>
    </row>
    <row r="19" spans="2:19" x14ac:dyDescent="0.3">
      <c r="B19" s="1" t="s">
        <v>213</v>
      </c>
      <c r="E19" s="56">
        <f>INDEX(bs!$B$4:$X$68,MATCH($B19,bs!$A$4:$A$68,0),MATCH(E$6,bs!$B$3:$X$3,0))</f>
        <v>0.6</v>
      </c>
      <c r="F19" s="56">
        <f>INDEX(bs!$B$4:$X$68,MATCH($B19,bs!$A$4:$A$68,0),MATCH(F$6,bs!$B$3:$X$3,0))</f>
        <v>1</v>
      </c>
      <c r="G19" s="56">
        <f>INDEX(bs!$B$4:$X$68,MATCH($B19,bs!$A$4:$A$68,0),MATCH(G$6,bs!$B$3:$X$3,0))</f>
        <v>1.7</v>
      </c>
      <c r="H19" s="56">
        <f>INDEX(bs!$B$4:$X$68,MATCH($B19,bs!$A$4:$A$68,0),MATCH(H$6,bs!$B$3:$X$3,0))</f>
        <v>5.0999999999999996</v>
      </c>
      <c r="I19" s="56">
        <f>INDEX(bs!$B$4:$X$68,MATCH($B19,bs!$A$4:$A$68,0),MATCH(I$6,bs!$B$3:$X$3,0))</f>
        <v>5</v>
      </c>
      <c r="J19" s="56">
        <f>INDEX(bs!$B$4:$X$68,MATCH($B19,bs!$A$4:$A$68,0),MATCH(J$6,bs!$B$3:$X$3,0))</f>
        <v>5.0999999999999996</v>
      </c>
      <c r="K19" s="56">
        <f>INDEX(bs!$B$4:$X$68,MATCH($B19,bs!$A$4:$A$68,0),MATCH(K$6,bs!$B$3:$X$3,0))</f>
        <v>5.7</v>
      </c>
      <c r="L19" s="56">
        <f>INDEX(bs!$B$4:$X$68,MATCH($B19,bs!$A$4:$A$68,0),MATCH(L$6,bs!$B$3:$X$3,0))</f>
        <v>6.4</v>
      </c>
      <c r="M19" s="28">
        <f>L19+M55-M78</f>
        <v>6.1214144688561731</v>
      </c>
      <c r="N19" s="28">
        <f t="shared" ref="N19:S19" si="20">M19+N55-N78</f>
        <v>6.0312909816154026</v>
      </c>
      <c r="O19" s="28">
        <f t="shared" si="20"/>
        <v>6.0661720184235062</v>
      </c>
      <c r="P19" s="28">
        <f t="shared" si="20"/>
        <v>6.1828021607538153</v>
      </c>
      <c r="Q19" s="28">
        <f t="shared" si="20"/>
        <v>6.3419025302993255</v>
      </c>
      <c r="R19" s="28">
        <f t="shared" si="20"/>
        <v>6.5136910195143329</v>
      </c>
      <c r="S19" s="28">
        <f t="shared" si="20"/>
        <v>6.6754301469309336</v>
      </c>
    </row>
    <row r="20" spans="2:19" x14ac:dyDescent="0.3">
      <c r="B20" s="1" t="s">
        <v>214</v>
      </c>
      <c r="E20" s="56">
        <f>INDEX(bs!$B$4:$X$68,MATCH($B20,bs!$A$4:$A$68,0),MATCH(E$6,bs!$B$3:$X$3,0))</f>
        <v>0</v>
      </c>
      <c r="F20" s="56">
        <f>INDEX(bs!$B$4:$X$68,MATCH($B20,bs!$A$4:$A$68,0),MATCH(F$6,bs!$B$3:$X$3,0))</f>
        <v>0</v>
      </c>
      <c r="G20" s="56">
        <f>INDEX(bs!$B$4:$X$68,MATCH($B20,bs!$A$4:$A$68,0),MATCH(G$6,bs!$B$3:$X$3,0))</f>
        <v>0</v>
      </c>
      <c r="H20" s="56">
        <f>INDEX(bs!$B$4:$X$68,MATCH($B20,bs!$A$4:$A$68,0),MATCH(H$6,bs!$B$3:$X$3,0))</f>
        <v>0</v>
      </c>
      <c r="I20" s="56">
        <f>INDEX(bs!$B$4:$X$68,MATCH($B20,bs!$A$4:$A$68,0),MATCH(I$6,bs!$B$3:$X$3,0))</f>
        <v>0</v>
      </c>
      <c r="J20" s="56">
        <f>INDEX(bs!$B$4:$X$68,MATCH($B20,bs!$A$4:$A$68,0),MATCH(J$6,bs!$B$3:$X$3,0))</f>
        <v>0</v>
      </c>
      <c r="K20" s="56">
        <f>INDEX(bs!$B$4:$X$68,MATCH($B20,bs!$A$4:$A$68,0),MATCH(K$6,bs!$B$3:$X$3,0))</f>
        <v>0</v>
      </c>
      <c r="L20" s="56">
        <f>INDEX(bs!$B$4:$X$68,MATCH($B20,bs!$A$4:$A$68,0),MATCH(L$6,bs!$B$3:$X$3,0))</f>
        <v>0</v>
      </c>
      <c r="M20" s="28">
        <f>L20</f>
        <v>0</v>
      </c>
      <c r="N20" s="28">
        <f t="shared" ref="N20:S20" si="21">M20</f>
        <v>0</v>
      </c>
      <c r="O20" s="28">
        <f t="shared" si="21"/>
        <v>0</v>
      </c>
      <c r="P20" s="28">
        <f t="shared" si="21"/>
        <v>0</v>
      </c>
      <c r="Q20" s="28">
        <f t="shared" si="21"/>
        <v>0</v>
      </c>
      <c r="R20" s="28">
        <f t="shared" si="21"/>
        <v>0</v>
      </c>
      <c r="S20" s="28">
        <f t="shared" si="21"/>
        <v>0</v>
      </c>
    </row>
    <row r="21" spans="2:19" x14ac:dyDescent="0.3">
      <c r="B21" s="1" t="s">
        <v>215</v>
      </c>
      <c r="E21" s="56">
        <f>INDEX(bs!$B$4:$X$68,MATCH($B21,bs!$A$4:$A$68,0),MATCH(E$6,bs!$B$3:$X$3,0))</f>
        <v>0.3</v>
      </c>
      <c r="F21" s="56">
        <f>INDEX(bs!$B$4:$X$68,MATCH($B21,bs!$A$4:$A$68,0),MATCH(F$6,bs!$B$3:$X$3,0))</f>
        <v>0.2</v>
      </c>
      <c r="G21" s="56">
        <f>INDEX(bs!$B$4:$X$68,MATCH($B21,bs!$A$4:$A$68,0),MATCH(G$6,bs!$B$3:$X$3,0))</f>
        <v>0.2</v>
      </c>
      <c r="H21" s="56">
        <f>INDEX(bs!$B$4:$X$68,MATCH($B21,bs!$A$4:$A$68,0),MATCH(H$6,bs!$B$3:$X$3,0))</f>
        <v>0.2</v>
      </c>
      <c r="I21" s="56">
        <f>INDEX(bs!$B$4:$X$68,MATCH($B21,bs!$A$4:$A$68,0),MATCH(I$6,bs!$B$3:$X$3,0))</f>
        <v>0.1</v>
      </c>
      <c r="J21" s="56">
        <f>INDEX(bs!$B$4:$X$68,MATCH($B21,bs!$A$4:$A$68,0),MATCH(J$6,bs!$B$3:$X$3,0))</f>
        <v>0.1</v>
      </c>
      <c r="K21" s="56">
        <f>INDEX(bs!$B$4:$X$68,MATCH($B21,bs!$A$4:$A$68,0),MATCH(K$6,bs!$B$3:$X$3,0))</f>
        <v>0</v>
      </c>
      <c r="L21" s="56">
        <f>INDEX(bs!$B$4:$X$68,MATCH($B21,bs!$A$4:$A$68,0),MATCH(L$6,bs!$B$3:$X$3,0))</f>
        <v>0</v>
      </c>
      <c r="M21" s="28">
        <f>L21</f>
        <v>0</v>
      </c>
      <c r="N21" s="28">
        <f t="shared" ref="N21:S21" si="22">M21</f>
        <v>0</v>
      </c>
      <c r="O21" s="28">
        <f t="shared" si="22"/>
        <v>0</v>
      </c>
      <c r="P21" s="28">
        <f t="shared" si="22"/>
        <v>0</v>
      </c>
      <c r="Q21" s="28">
        <f t="shared" si="22"/>
        <v>0</v>
      </c>
      <c r="R21" s="28">
        <f t="shared" si="22"/>
        <v>0</v>
      </c>
      <c r="S21" s="28">
        <f t="shared" si="22"/>
        <v>0</v>
      </c>
    </row>
    <row r="22" spans="2:19" ht="15" thickBot="1" x14ac:dyDescent="0.35">
      <c r="B22" s="17" t="s">
        <v>17</v>
      </c>
      <c r="C22" s="17"/>
      <c r="D22" s="17"/>
      <c r="E22" s="81">
        <f t="shared" ref="E22:L22" si="23">SUM(E16:E21)</f>
        <v>19.700000000000003</v>
      </c>
      <c r="F22" s="81">
        <f t="shared" si="23"/>
        <v>28.099999999999998</v>
      </c>
      <c r="G22" s="81">
        <f t="shared" si="23"/>
        <v>25.299999999999997</v>
      </c>
      <c r="H22" s="81">
        <f t="shared" si="23"/>
        <v>37.700000000000003</v>
      </c>
      <c r="I22" s="81">
        <f t="shared" si="23"/>
        <v>45.7</v>
      </c>
      <c r="J22" s="81">
        <f t="shared" si="23"/>
        <v>40.200000000000003</v>
      </c>
      <c r="K22" s="81">
        <f t="shared" si="23"/>
        <v>91.5</v>
      </c>
      <c r="L22" s="81">
        <f t="shared" si="23"/>
        <v>115.10000000000001</v>
      </c>
      <c r="M22" s="82">
        <f>SUM(M16:M21)</f>
        <v>109.04489671723066</v>
      </c>
      <c r="N22" s="82">
        <f t="shared" ref="N22:S22" si="24">SUM(N16:N21)</f>
        <v>115.87612545413131</v>
      </c>
      <c r="O22" s="82">
        <f t="shared" si="24"/>
        <v>123.26253958411927</v>
      </c>
      <c r="P22" s="82">
        <f t="shared" si="24"/>
        <v>131.16426715219475</v>
      </c>
      <c r="Q22" s="82">
        <f t="shared" si="24"/>
        <v>139.40788476486406</v>
      </c>
      <c r="R22" s="82">
        <f t="shared" si="24"/>
        <v>147.86525544574062</v>
      </c>
      <c r="S22" s="82">
        <f t="shared" si="24"/>
        <v>156.40323214984116</v>
      </c>
    </row>
    <row r="23" spans="2:19" ht="15" thickTop="1" x14ac:dyDescent="0.3">
      <c r="E23" s="56"/>
      <c r="F23" s="56"/>
      <c r="G23" s="56"/>
      <c r="H23" s="56"/>
      <c r="I23" s="56"/>
      <c r="J23" s="56"/>
      <c r="K23" s="56"/>
      <c r="L23" s="56"/>
      <c r="M23" s="28"/>
      <c r="N23" s="28"/>
      <c r="O23" s="28"/>
      <c r="P23" s="28"/>
      <c r="Q23" s="28"/>
      <c r="R23" s="28"/>
      <c r="S23" s="28"/>
    </row>
    <row r="24" spans="2:19" x14ac:dyDescent="0.3">
      <c r="B24" s="1" t="s">
        <v>19</v>
      </c>
      <c r="E24" s="56">
        <f>E27-E25-E26</f>
        <v>10</v>
      </c>
      <c r="F24" s="56">
        <f t="shared" ref="F24:L24" si="25">F27-F25-F26</f>
        <v>15.4</v>
      </c>
      <c r="G24" s="56">
        <f t="shared" si="25"/>
        <v>12</v>
      </c>
      <c r="H24" s="56">
        <f t="shared" si="25"/>
        <v>12.3</v>
      </c>
      <c r="I24" s="56">
        <f t="shared" si="25"/>
        <v>14.999999999999998</v>
      </c>
      <c r="J24" s="56">
        <f t="shared" si="25"/>
        <v>18.399999999999999</v>
      </c>
      <c r="K24" s="56">
        <f t="shared" si="25"/>
        <v>29.2</v>
      </c>
      <c r="L24" s="56">
        <f t="shared" si="25"/>
        <v>29.099999999999994</v>
      </c>
      <c r="M24" s="28">
        <f>-M52*summary!M32/365</f>
        <v>24.665753283775445</v>
      </c>
      <c r="N24" s="28">
        <f>-N52*summary!N32/365</f>
        <v>25.523692158883115</v>
      </c>
      <c r="O24" s="28">
        <f>-O52*summary!O32/365</f>
        <v>26.325036471772592</v>
      </c>
      <c r="P24" s="28">
        <f>-P52*summary!P32/365</f>
        <v>27.079314304965617</v>
      </c>
      <c r="Q24" s="28">
        <f>-Q52*summary!Q32/365</f>
        <v>27.712907684847757</v>
      </c>
      <c r="R24" s="28">
        <f>-R52*summary!R32/365</f>
        <v>28.20711052115583</v>
      </c>
      <c r="S24" s="28">
        <f>-S52*summary!S32/365</f>
        <v>28.546463135420705</v>
      </c>
    </row>
    <row r="25" spans="2:19" x14ac:dyDescent="0.3">
      <c r="B25" s="1" t="s">
        <v>40</v>
      </c>
      <c r="E25" s="56">
        <f>INDEX(bs!$B$4:$X$68,MATCH($B25,bs!$A$4:$A$68,0),MATCH(E$6,bs!$B$3:$X$3,0))</f>
        <v>1.1000000000000001</v>
      </c>
      <c r="F25" s="56">
        <f>INDEX(bs!$B$4:$X$68,MATCH($B25,bs!$A$4:$A$68,0),MATCH(F$6,bs!$B$3:$X$3,0))</f>
        <v>1.5</v>
      </c>
      <c r="G25" s="56">
        <f>INDEX(bs!$B$4:$X$68,MATCH($B25,bs!$A$4:$A$68,0),MATCH(G$6,bs!$B$3:$X$3,0))</f>
        <v>0.5</v>
      </c>
      <c r="H25" s="56">
        <f>INDEX(bs!$B$4:$X$68,MATCH($B25,bs!$A$4:$A$68,0),MATCH(H$6,bs!$B$3:$X$3,0))</f>
        <v>0.4</v>
      </c>
      <c r="I25" s="56">
        <f>INDEX(bs!$B$4:$X$68,MATCH($B25,bs!$A$4:$A$68,0),MATCH(I$6,bs!$B$3:$X$3,0))</f>
        <v>1.1000000000000001</v>
      </c>
      <c r="J25" s="56">
        <f>INDEX(bs!$B$4:$X$68,MATCH($B25,bs!$A$4:$A$68,0),MATCH(J$6,bs!$B$3:$X$3,0))</f>
        <v>0.8</v>
      </c>
      <c r="K25" s="56">
        <f>INDEX(bs!$B$4:$X$68,MATCH($B25,bs!$A$4:$A$68,0),MATCH(K$6,bs!$B$3:$X$3,0))</f>
        <v>1.5</v>
      </c>
      <c r="L25" s="56">
        <f>INDEX(bs!$B$4:$X$68,MATCH($B25,bs!$A$4:$A$68,0),MATCH(L$6,bs!$B$3:$X$3,0))</f>
        <v>1.7</v>
      </c>
      <c r="M25" s="28">
        <f>L25</f>
        <v>1.7</v>
      </c>
      <c r="N25" s="28">
        <f t="shared" ref="N25:S25" si="26">M25</f>
        <v>1.7</v>
      </c>
      <c r="O25" s="28">
        <f t="shared" si="26"/>
        <v>1.7</v>
      </c>
      <c r="P25" s="28">
        <f t="shared" si="26"/>
        <v>1.7</v>
      </c>
      <c r="Q25" s="28">
        <f t="shared" si="26"/>
        <v>1.7</v>
      </c>
      <c r="R25" s="28">
        <f t="shared" si="26"/>
        <v>1.7</v>
      </c>
      <c r="S25" s="28">
        <f t="shared" si="26"/>
        <v>1.7</v>
      </c>
    </row>
    <row r="26" spans="2:19" x14ac:dyDescent="0.3">
      <c r="B26" s="1" t="s">
        <v>218</v>
      </c>
      <c r="E26" s="56">
        <f>INDEX(bs!$B$4:$X$68,MATCH($B26,bs!$A$4:$A$68,0),MATCH(E$6,bs!$B$3:$X$3,0))</f>
        <v>3.1</v>
      </c>
      <c r="F26" s="56">
        <f>INDEX(bs!$B$4:$X$68,MATCH($B26,bs!$A$4:$A$68,0),MATCH(F$6,bs!$B$3:$X$3,0))</f>
        <v>7.1</v>
      </c>
      <c r="G26" s="56">
        <f>INDEX(bs!$B$4:$X$68,MATCH($B26,bs!$A$4:$A$68,0),MATCH(G$6,bs!$B$3:$X$3,0))</f>
        <v>1.5</v>
      </c>
      <c r="H26" s="56">
        <f>INDEX(bs!$B$4:$X$68,MATCH($B26,bs!$A$4:$A$68,0),MATCH(H$6,bs!$B$3:$X$3,0))</f>
        <v>11.8</v>
      </c>
      <c r="I26" s="56">
        <f>INDEX(bs!$B$4:$X$68,MATCH($B26,bs!$A$4:$A$68,0),MATCH(I$6,bs!$B$3:$X$3,0))</f>
        <v>15.4</v>
      </c>
      <c r="J26" s="56">
        <f>INDEX(bs!$B$4:$X$68,MATCH($B26,bs!$A$4:$A$68,0),MATCH(J$6,bs!$B$3:$X$3,0))</f>
        <v>4.5999999999999996</v>
      </c>
      <c r="K26" s="56">
        <f>INDEX(bs!$B$4:$X$68,MATCH($B26,bs!$A$4:$A$68,0),MATCH(K$6,bs!$B$3:$X$3,0))</f>
        <v>8.6999999999999993</v>
      </c>
      <c r="L26" s="56">
        <f>INDEX(bs!$B$4:$X$68,MATCH($B26,bs!$A$4:$A$68,0),MATCH(L$6,bs!$B$3:$X$3,0))</f>
        <v>23.1</v>
      </c>
      <c r="M26" s="28"/>
      <c r="N26" s="28"/>
      <c r="O26" s="28"/>
      <c r="P26" s="28"/>
      <c r="Q26" s="28"/>
      <c r="R26" s="28"/>
      <c r="S26" s="28"/>
    </row>
    <row r="27" spans="2:19" ht="15" thickBot="1" x14ac:dyDescent="0.35">
      <c r="B27" s="17" t="s">
        <v>221</v>
      </c>
      <c r="C27" s="17"/>
      <c r="D27" s="17"/>
      <c r="E27" s="81">
        <f>INDEX(bs!$B$4:$X$68,MATCH($B27,bs!$A$4:$A$68,0),MATCH(E$6,bs!$B$3:$X$3,0))</f>
        <v>14.2</v>
      </c>
      <c r="F27" s="81">
        <f>INDEX(bs!$B$4:$X$68,MATCH($B27,bs!$A$4:$A$68,0),MATCH(F$6,bs!$B$3:$X$3,0))</f>
        <v>24</v>
      </c>
      <c r="G27" s="81">
        <f>INDEX(bs!$B$4:$X$68,MATCH($B27,bs!$A$4:$A$68,0),MATCH(G$6,bs!$B$3:$X$3,0))</f>
        <v>14</v>
      </c>
      <c r="H27" s="81">
        <f>INDEX(bs!$B$4:$X$68,MATCH($B27,bs!$A$4:$A$68,0),MATCH(H$6,bs!$B$3:$X$3,0))</f>
        <v>24.5</v>
      </c>
      <c r="I27" s="81">
        <f>INDEX(bs!$B$4:$X$68,MATCH($B27,bs!$A$4:$A$68,0),MATCH(I$6,bs!$B$3:$X$3,0))</f>
        <v>31.5</v>
      </c>
      <c r="J27" s="81">
        <f>INDEX(bs!$B$4:$X$68,MATCH($B27,bs!$A$4:$A$68,0),MATCH(J$6,bs!$B$3:$X$3,0))</f>
        <v>23.8</v>
      </c>
      <c r="K27" s="81">
        <f>INDEX(bs!$B$4:$X$68,MATCH($B27,bs!$A$4:$A$68,0),MATCH(K$6,bs!$B$3:$X$3,0))</f>
        <v>39.4</v>
      </c>
      <c r="L27" s="81">
        <f>INDEX(bs!$B$4:$X$68,MATCH($B27,bs!$A$4:$A$68,0),MATCH(L$6,bs!$B$3:$X$3,0))</f>
        <v>53.9</v>
      </c>
      <c r="M27" s="82">
        <f>SUM(M24:M26)</f>
        <v>26.365753283775444</v>
      </c>
      <c r="N27" s="82">
        <f t="shared" ref="N27:S27" si="27">SUM(N24:N26)</f>
        <v>27.223692158883114</v>
      </c>
      <c r="O27" s="82">
        <f t="shared" si="27"/>
        <v>28.025036471772591</v>
      </c>
      <c r="P27" s="82">
        <f t="shared" si="27"/>
        <v>28.779314304965617</v>
      </c>
      <c r="Q27" s="82">
        <f t="shared" si="27"/>
        <v>29.412907684847756</v>
      </c>
      <c r="R27" s="82">
        <f t="shared" si="27"/>
        <v>29.907110521155829</v>
      </c>
      <c r="S27" s="82">
        <f t="shared" si="27"/>
        <v>30.246463135420704</v>
      </c>
    </row>
    <row r="28" spans="2:19" ht="15" thickTop="1" x14ac:dyDescent="0.3">
      <c r="B28" s="1" t="s">
        <v>222</v>
      </c>
      <c r="E28" s="56">
        <f>INDEX(bs!$B$4:$X$68,MATCH($B28,bs!$A$4:$A$68,0),MATCH(E$6,bs!$B$3:$X$3,0))</f>
        <v>2.5</v>
      </c>
      <c r="F28" s="56">
        <f>INDEX(bs!$B$4:$X$68,MATCH($B28,bs!$A$4:$A$68,0),MATCH(F$6,bs!$B$3:$X$3,0))</f>
        <v>2.9</v>
      </c>
      <c r="G28" s="56">
        <f>INDEX(bs!$B$4:$X$68,MATCH($B28,bs!$A$4:$A$68,0),MATCH(G$6,bs!$B$3:$X$3,0))</f>
        <v>4.4000000000000004</v>
      </c>
      <c r="H28" s="56">
        <f>INDEX(bs!$B$4:$X$68,MATCH($B28,bs!$A$4:$A$68,0),MATCH(H$6,bs!$B$3:$X$3,0))</f>
        <v>4.5</v>
      </c>
      <c r="I28" s="56">
        <f>INDEX(bs!$B$4:$X$68,MATCH($B28,bs!$A$4:$A$68,0),MATCH(I$6,bs!$B$3:$X$3,0))</f>
        <v>2.7</v>
      </c>
      <c r="J28" s="56">
        <f>INDEX(bs!$B$4:$X$68,MATCH($B28,bs!$A$4:$A$68,0),MATCH(J$6,bs!$B$3:$X$3,0))</f>
        <v>2.9</v>
      </c>
      <c r="K28" s="56">
        <f>INDEX(bs!$B$4:$X$68,MATCH($B28,bs!$A$4:$A$68,0),MATCH(K$6,bs!$B$3:$X$3,0))</f>
        <v>12.9</v>
      </c>
      <c r="L28" s="56">
        <f>INDEX(bs!$B$4:$X$68,MATCH($B28,bs!$A$4:$A$68,0),MATCH(L$6,bs!$B$3:$X$3,0))</f>
        <v>10.1</v>
      </c>
      <c r="M28" s="28">
        <f>summary!M33</f>
        <v>25.027999999999999</v>
      </c>
      <c r="N28" s="28">
        <f>summary!N33</f>
        <v>25.027999999999999</v>
      </c>
      <c r="O28" s="28">
        <f>summary!O33</f>
        <v>25.027999999999999</v>
      </c>
      <c r="P28" s="28">
        <f>summary!P33</f>
        <v>25.027999999999999</v>
      </c>
      <c r="Q28" s="28">
        <f>summary!Q33</f>
        <v>25.027999999999999</v>
      </c>
      <c r="R28" s="28">
        <f>summary!R33</f>
        <v>25.027999999999999</v>
      </c>
      <c r="S28" s="28">
        <f>summary!S33</f>
        <v>25.027999999999999</v>
      </c>
    </row>
    <row r="29" spans="2:19" x14ac:dyDescent="0.3">
      <c r="B29" s="1" t="s">
        <v>153</v>
      </c>
      <c r="E29" s="56">
        <f>INDEX(bs!$B$4:$X$68,MATCH($B29,bs!$A$4:$A$68,0),MATCH(E$6,bs!$B$3:$X$3,0))</f>
        <v>0</v>
      </c>
      <c r="F29" s="56">
        <f>INDEX(bs!$B$4:$X$68,MATCH($B29,bs!$A$4:$A$68,0),MATCH(F$6,bs!$B$3:$X$3,0))</f>
        <v>0</v>
      </c>
      <c r="G29" s="56">
        <f>INDEX(bs!$B$4:$X$68,MATCH($B29,bs!$A$4:$A$68,0),MATCH(G$6,bs!$B$3:$X$3,0))</f>
        <v>0</v>
      </c>
      <c r="H29" s="56">
        <f>INDEX(bs!$B$4:$X$68,MATCH($B29,bs!$A$4:$A$68,0),MATCH(H$6,bs!$B$3:$X$3,0))</f>
        <v>0</v>
      </c>
      <c r="I29" s="56">
        <f>INDEX(bs!$B$4:$X$68,MATCH($B29,bs!$A$4:$A$68,0),MATCH(I$6,bs!$B$3:$X$3,0))</f>
        <v>0</v>
      </c>
      <c r="J29" s="56">
        <f>INDEX(bs!$B$4:$X$68,MATCH($B29,bs!$A$4:$A$68,0),MATCH(J$6,bs!$B$3:$X$3,0))</f>
        <v>0</v>
      </c>
      <c r="K29" s="56">
        <f>INDEX(bs!$B$4:$X$68,MATCH($B29,bs!$A$4:$A$68,0),MATCH(K$6,bs!$B$3:$X$3,0))</f>
        <v>6.1</v>
      </c>
      <c r="L29" s="56">
        <f>INDEX(bs!$B$4:$X$68,MATCH($B29,bs!$A$4:$A$68,0),MATCH(L$6,bs!$B$3:$X$3,0))</f>
        <v>7.6</v>
      </c>
      <c r="M29" s="28">
        <f>L29</f>
        <v>7.6</v>
      </c>
      <c r="N29" s="28">
        <f t="shared" ref="N29:O29" si="28">M29</f>
        <v>7.6</v>
      </c>
      <c r="O29" s="28">
        <f t="shared" si="28"/>
        <v>7.6</v>
      </c>
      <c r="P29" s="28">
        <f t="shared" ref="P29:S29" si="29">O29</f>
        <v>7.6</v>
      </c>
      <c r="Q29" s="28">
        <f t="shared" si="29"/>
        <v>7.6</v>
      </c>
      <c r="R29" s="28">
        <f t="shared" si="29"/>
        <v>7.6</v>
      </c>
      <c r="S29" s="28">
        <f t="shared" si="29"/>
        <v>7.6</v>
      </c>
    </row>
    <row r="30" spans="2:19" x14ac:dyDescent="0.3">
      <c r="B30" s="1" t="s">
        <v>225</v>
      </c>
      <c r="E30" s="56">
        <f>INDEX(bs!$B$4:$X$68,MATCH($B30,bs!$A$4:$A$68,0),MATCH(E$6,bs!$B$3:$X$3,0))</f>
        <v>0</v>
      </c>
      <c r="F30" s="56">
        <f>INDEX(bs!$B$4:$X$68,MATCH($B30,bs!$A$4:$A$68,0),MATCH(F$6,bs!$B$3:$X$3,0))</f>
        <v>0</v>
      </c>
      <c r="G30" s="56">
        <f>INDEX(bs!$B$4:$X$68,MATCH($B30,bs!$A$4:$A$68,0),MATCH(G$6,bs!$B$3:$X$3,0))</f>
        <v>0</v>
      </c>
      <c r="H30" s="56">
        <f>INDEX(bs!$B$4:$X$68,MATCH($B30,bs!$A$4:$A$68,0),MATCH(H$6,bs!$B$3:$X$3,0))</f>
        <v>0</v>
      </c>
      <c r="I30" s="56">
        <f>INDEX(bs!$B$4:$X$68,MATCH($B30,bs!$A$4:$A$68,0),MATCH(I$6,bs!$B$3:$X$3,0))</f>
        <v>0</v>
      </c>
      <c r="J30" s="56">
        <f>INDEX(bs!$B$4:$X$68,MATCH($B30,bs!$A$4:$A$68,0),MATCH(J$6,bs!$B$3:$X$3,0))</f>
        <v>0</v>
      </c>
      <c r="K30" s="56">
        <f>INDEX(bs!$B$4:$X$68,MATCH($B30,bs!$A$4:$A$68,0),MATCH(K$6,bs!$B$3:$X$3,0))</f>
        <v>1</v>
      </c>
      <c r="L30" s="56">
        <f>INDEX(bs!$B$4:$X$68,MATCH($B30,bs!$A$4:$A$68,0),MATCH(L$6,bs!$B$3:$X$3,0))</f>
        <v>0</v>
      </c>
      <c r="M30" s="28">
        <f>L30</f>
        <v>0</v>
      </c>
      <c r="N30" s="28">
        <f>M30</f>
        <v>0</v>
      </c>
      <c r="O30" s="28">
        <f>N30</f>
        <v>0</v>
      </c>
      <c r="P30" s="28">
        <f t="shared" ref="P30:S30" si="30">O30</f>
        <v>0</v>
      </c>
      <c r="Q30" s="28">
        <f t="shared" si="30"/>
        <v>0</v>
      </c>
      <c r="R30" s="28">
        <f t="shared" si="30"/>
        <v>0</v>
      </c>
      <c r="S30" s="28">
        <f t="shared" si="30"/>
        <v>0</v>
      </c>
    </row>
    <row r="31" spans="2:19" ht="15" thickBot="1" x14ac:dyDescent="0.35">
      <c r="B31" s="17" t="s">
        <v>18</v>
      </c>
      <c r="C31" s="17"/>
      <c r="D31" s="17"/>
      <c r="E31" s="81">
        <f>SUM(E27:E30)</f>
        <v>16.7</v>
      </c>
      <c r="F31" s="81">
        <f t="shared" ref="F31:L31" si="31">SUM(F27:F30)</f>
        <v>26.9</v>
      </c>
      <c r="G31" s="81">
        <f t="shared" si="31"/>
        <v>18.399999999999999</v>
      </c>
      <c r="H31" s="81">
        <f t="shared" si="31"/>
        <v>29</v>
      </c>
      <c r="I31" s="81">
        <f t="shared" si="31"/>
        <v>34.200000000000003</v>
      </c>
      <c r="J31" s="81">
        <f t="shared" si="31"/>
        <v>26.7</v>
      </c>
      <c r="K31" s="81">
        <f t="shared" si="31"/>
        <v>59.4</v>
      </c>
      <c r="L31" s="81">
        <f t="shared" si="31"/>
        <v>71.599999999999994</v>
      </c>
      <c r="M31" s="82">
        <f>SUM(M27:M30)</f>
        <v>58.99375328377544</v>
      </c>
      <c r="N31" s="82">
        <f t="shared" ref="N31:S31" si="32">SUM(N27:N30)</f>
        <v>59.851692158883118</v>
      </c>
      <c r="O31" s="82">
        <f t="shared" si="32"/>
        <v>60.653036471772587</v>
      </c>
      <c r="P31" s="82">
        <f t="shared" si="32"/>
        <v>61.407314304965617</v>
      </c>
      <c r="Q31" s="82">
        <f t="shared" si="32"/>
        <v>62.04090768484776</v>
      </c>
      <c r="R31" s="82">
        <f t="shared" si="32"/>
        <v>62.535110521155829</v>
      </c>
      <c r="S31" s="82">
        <f t="shared" si="32"/>
        <v>62.874463135420704</v>
      </c>
    </row>
    <row r="32" spans="2:19" ht="15" thickTop="1" x14ac:dyDescent="0.3">
      <c r="E32" s="56"/>
      <c r="F32" s="56"/>
      <c r="G32" s="56"/>
      <c r="H32" s="56"/>
      <c r="I32" s="56"/>
      <c r="J32" s="56"/>
      <c r="K32" s="56"/>
      <c r="L32" s="56"/>
      <c r="M32" s="28"/>
      <c r="N32" s="28"/>
      <c r="O32" s="28"/>
      <c r="P32" s="28"/>
      <c r="Q32" s="28"/>
      <c r="R32" s="28"/>
      <c r="S32" s="28"/>
    </row>
    <row r="33" spans="2:19" ht="15" thickBot="1" x14ac:dyDescent="0.35">
      <c r="B33" s="17" t="s">
        <v>20</v>
      </c>
      <c r="C33" s="17"/>
      <c r="D33" s="17"/>
      <c r="E33" s="81">
        <f>E22-E31</f>
        <v>3.0000000000000036</v>
      </c>
      <c r="F33" s="81">
        <f t="shared" ref="F33:S33" si="33">F22-F31</f>
        <v>1.1999999999999993</v>
      </c>
      <c r="G33" s="81">
        <f t="shared" si="33"/>
        <v>6.8999999999999986</v>
      </c>
      <c r="H33" s="81">
        <f t="shared" si="33"/>
        <v>8.7000000000000028</v>
      </c>
      <c r="I33" s="81">
        <f t="shared" si="33"/>
        <v>11.5</v>
      </c>
      <c r="J33" s="81">
        <f t="shared" si="33"/>
        <v>13.500000000000004</v>
      </c>
      <c r="K33" s="81">
        <f t="shared" si="33"/>
        <v>32.1</v>
      </c>
      <c r="L33" s="81">
        <f t="shared" si="33"/>
        <v>43.500000000000014</v>
      </c>
      <c r="M33" s="82">
        <f>M22-M31</f>
        <v>50.051143433455216</v>
      </c>
      <c r="N33" s="82">
        <f t="shared" si="33"/>
        <v>56.024433295248194</v>
      </c>
      <c r="O33" s="82">
        <f t="shared" si="33"/>
        <v>62.60950311234668</v>
      </c>
      <c r="P33" s="82">
        <f t="shared" si="33"/>
        <v>69.756952847229144</v>
      </c>
      <c r="Q33" s="82">
        <f t="shared" si="33"/>
        <v>77.366977080016312</v>
      </c>
      <c r="R33" s="82">
        <f t="shared" si="33"/>
        <v>85.330144924584786</v>
      </c>
      <c r="S33" s="82">
        <f t="shared" si="33"/>
        <v>93.528769014420448</v>
      </c>
    </row>
    <row r="34" spans="2:19" ht="15" thickTop="1" x14ac:dyDescent="0.3">
      <c r="E34" s="56"/>
      <c r="F34" s="56"/>
      <c r="G34" s="56"/>
      <c r="H34" s="56"/>
      <c r="I34" s="56"/>
      <c r="J34" s="56"/>
      <c r="K34" s="56"/>
      <c r="L34" s="56"/>
      <c r="M34" s="28"/>
      <c r="N34" s="28"/>
      <c r="O34" s="28"/>
      <c r="P34" s="28"/>
      <c r="Q34" s="28"/>
      <c r="R34" s="28"/>
      <c r="S34" s="28"/>
    </row>
    <row r="35" spans="2:19" x14ac:dyDescent="0.3">
      <c r="B35" s="1" t="s">
        <v>230</v>
      </c>
      <c r="E35" s="56">
        <f>INDEX(bs!$B$4:$X$68,MATCH($B35,bs!$A$4:$A$68,0),MATCH(E$6,bs!$B$3:$X$3,0))</f>
        <v>0.2</v>
      </c>
      <c r="F35" s="56">
        <f>INDEX(bs!$B$4:$X$68,MATCH($B35,bs!$A$4:$A$68,0),MATCH(F$6,bs!$B$3:$X$3,0))</f>
        <v>0.2</v>
      </c>
      <c r="G35" s="56">
        <f>INDEX(bs!$B$4:$X$68,MATCH($B35,bs!$A$4:$A$68,0),MATCH(G$6,bs!$B$3:$X$3,0))</f>
        <v>0.2</v>
      </c>
      <c r="H35" s="56">
        <f>INDEX(bs!$B$4:$X$68,MATCH($B35,bs!$A$4:$A$68,0),MATCH(H$6,bs!$B$3:$X$3,0))</f>
        <v>0.2</v>
      </c>
      <c r="I35" s="56">
        <f>INDEX(bs!$B$4:$X$68,MATCH($B35,bs!$A$4:$A$68,0),MATCH(I$6,bs!$B$3:$X$3,0))</f>
        <v>0.2</v>
      </c>
      <c r="J35" s="56">
        <f>INDEX(bs!$B$4:$X$68,MATCH($B35,bs!$A$4:$A$68,0),MATCH(J$6,bs!$B$3:$X$3,0))</f>
        <v>0.2</v>
      </c>
      <c r="K35" s="56">
        <f>INDEX(bs!$B$4:$X$68,MATCH($B35,bs!$A$4:$A$68,0),MATCH(K$6,bs!$B$3:$X$3,0))</f>
        <v>0.2</v>
      </c>
      <c r="L35" s="56">
        <f>INDEX(bs!$B$4:$X$68,MATCH($B35,bs!$A$4:$A$68,0),MATCH(L$6,bs!$B$3:$X$3,0))</f>
        <v>0.2</v>
      </c>
      <c r="M35" s="28">
        <f>L35</f>
        <v>0.2</v>
      </c>
      <c r="N35" s="28">
        <f t="shared" ref="N35:S35" si="34">M35</f>
        <v>0.2</v>
      </c>
      <c r="O35" s="28">
        <f t="shared" si="34"/>
        <v>0.2</v>
      </c>
      <c r="P35" s="28">
        <f t="shared" si="34"/>
        <v>0.2</v>
      </c>
      <c r="Q35" s="28">
        <f t="shared" si="34"/>
        <v>0.2</v>
      </c>
      <c r="R35" s="28">
        <f t="shared" si="34"/>
        <v>0.2</v>
      </c>
      <c r="S35" s="28">
        <f t="shared" si="34"/>
        <v>0.2</v>
      </c>
    </row>
    <row r="36" spans="2:19" x14ac:dyDescent="0.3">
      <c r="B36" s="1" t="s">
        <v>231</v>
      </c>
      <c r="E36" s="56">
        <f>INDEX(bs!$B$4:$X$68,MATCH($B36,bs!$A$4:$A$68,0),MATCH(E$6,bs!$B$3:$X$3,0))</f>
        <v>12.3</v>
      </c>
      <c r="F36" s="56">
        <f>INDEX(bs!$B$4:$X$68,MATCH($B36,bs!$A$4:$A$68,0),MATCH(F$6,bs!$B$3:$X$3,0))</f>
        <v>0</v>
      </c>
      <c r="G36" s="56">
        <f>INDEX(bs!$B$4:$X$68,MATCH($B36,bs!$A$4:$A$68,0),MATCH(G$6,bs!$B$3:$X$3,0))</f>
        <v>0</v>
      </c>
      <c r="H36" s="56">
        <f>INDEX(bs!$B$4:$X$68,MATCH($B36,bs!$A$4:$A$68,0),MATCH(H$6,bs!$B$3:$X$3,0))</f>
        <v>0</v>
      </c>
      <c r="I36" s="56">
        <f>INDEX(bs!$B$4:$X$68,MATCH($B36,bs!$A$4:$A$68,0),MATCH(I$6,bs!$B$3:$X$3,0))</f>
        <v>0</v>
      </c>
      <c r="J36" s="56">
        <f>INDEX(bs!$B$4:$X$68,MATCH($B36,bs!$A$4:$A$68,0),MATCH(J$6,bs!$B$3:$X$3,0))</f>
        <v>0</v>
      </c>
      <c r="K36" s="56">
        <f>INDEX(bs!$B$4:$X$68,MATCH($B36,bs!$A$4:$A$68,0),MATCH(K$6,bs!$B$3:$X$3,0))</f>
        <v>14.3</v>
      </c>
      <c r="L36" s="56">
        <f>INDEX(bs!$B$4:$X$68,MATCH($B36,bs!$A$4:$A$68,0),MATCH(L$6,bs!$B$3:$X$3,0))</f>
        <v>14.3</v>
      </c>
      <c r="M36" s="28">
        <f>L36</f>
        <v>14.3</v>
      </c>
      <c r="N36" s="28">
        <f t="shared" ref="N36:S36" si="35">M36</f>
        <v>14.3</v>
      </c>
      <c r="O36" s="28">
        <f t="shared" si="35"/>
        <v>14.3</v>
      </c>
      <c r="P36" s="28">
        <f t="shared" si="35"/>
        <v>14.3</v>
      </c>
      <c r="Q36" s="28">
        <f t="shared" si="35"/>
        <v>14.3</v>
      </c>
      <c r="R36" s="28">
        <f t="shared" si="35"/>
        <v>14.3</v>
      </c>
      <c r="S36" s="28">
        <f t="shared" si="35"/>
        <v>14.3</v>
      </c>
    </row>
    <row r="37" spans="2:19" x14ac:dyDescent="0.3">
      <c r="B37" s="1" t="s">
        <v>232</v>
      </c>
      <c r="E37" s="56">
        <f>INDEX(bs!$B$4:$X$68,MATCH($B37,bs!$A$4:$A$68,0),MATCH(E$6,bs!$B$3:$X$3,0))</f>
        <v>0</v>
      </c>
      <c r="F37" s="56">
        <f>INDEX(bs!$B$4:$X$68,MATCH($B37,bs!$A$4:$A$68,0),MATCH(F$6,bs!$B$3:$X$3,0))</f>
        <v>0</v>
      </c>
      <c r="G37" s="56">
        <f>INDEX(bs!$B$4:$X$68,MATCH($B37,bs!$A$4:$A$68,0),MATCH(G$6,bs!$B$3:$X$3,0))</f>
        <v>0</v>
      </c>
      <c r="H37" s="56">
        <f>INDEX(bs!$B$4:$X$68,MATCH($B37,bs!$A$4:$A$68,0),MATCH(H$6,bs!$B$3:$X$3,0))</f>
        <v>0</v>
      </c>
      <c r="I37" s="56">
        <f>INDEX(bs!$B$4:$X$68,MATCH($B37,bs!$A$4:$A$68,0),MATCH(I$6,bs!$B$3:$X$3,0))</f>
        <v>0</v>
      </c>
      <c r="J37" s="56">
        <f>INDEX(bs!$B$4:$X$68,MATCH($B37,bs!$A$4:$A$68,0),MATCH(J$6,bs!$B$3:$X$3,0))</f>
        <v>0</v>
      </c>
      <c r="K37" s="56">
        <f>INDEX(bs!$B$4:$X$68,MATCH($B37,bs!$A$4:$A$68,0),MATCH(K$6,bs!$B$3:$X$3,0))</f>
        <v>0</v>
      </c>
      <c r="L37" s="56">
        <f>INDEX(bs!$B$4:$X$68,MATCH($B37,bs!$A$4:$A$68,0),MATCH(L$6,bs!$B$3:$X$3,0))</f>
        <v>0</v>
      </c>
      <c r="M37" s="28">
        <f>L37</f>
        <v>0</v>
      </c>
      <c r="N37" s="28">
        <f t="shared" ref="N37:S37" si="36">M37</f>
        <v>0</v>
      </c>
      <c r="O37" s="28">
        <f t="shared" si="36"/>
        <v>0</v>
      </c>
      <c r="P37" s="28">
        <f t="shared" si="36"/>
        <v>0</v>
      </c>
      <c r="Q37" s="28">
        <f t="shared" si="36"/>
        <v>0</v>
      </c>
      <c r="R37" s="28">
        <f t="shared" si="36"/>
        <v>0</v>
      </c>
      <c r="S37" s="28">
        <f t="shared" si="36"/>
        <v>0</v>
      </c>
    </row>
    <row r="38" spans="2:19" x14ac:dyDescent="0.3">
      <c r="B38" s="1" t="s">
        <v>234</v>
      </c>
      <c r="E38" s="56">
        <f>INDEX(bs!$B$4:$X$68,MATCH($B38,bs!$A$4:$A$68,0),MATCH(E$6,bs!$B$3:$X$3,0))</f>
        <v>4.9000000000000004</v>
      </c>
      <c r="F38" s="56">
        <f>INDEX(bs!$B$4:$X$68,MATCH($B38,bs!$A$4:$A$68,0),MATCH(F$6,bs!$B$3:$X$3,0))</f>
        <v>0.4</v>
      </c>
      <c r="G38" s="56">
        <f>INDEX(bs!$B$4:$X$68,MATCH($B38,bs!$A$4:$A$68,0),MATCH(G$6,bs!$B$3:$X$3,0))</f>
        <v>-0.2</v>
      </c>
      <c r="H38" s="56">
        <f>INDEX(bs!$B$4:$X$68,MATCH($B38,bs!$A$4:$A$68,0),MATCH(H$6,bs!$B$3:$X$3,0))</f>
        <v>1.1000000000000001</v>
      </c>
      <c r="I38" s="56">
        <f>INDEX(bs!$B$4:$X$68,MATCH($B38,bs!$A$4:$A$68,0),MATCH(I$6,bs!$B$3:$X$3,0))</f>
        <v>0.1</v>
      </c>
      <c r="J38" s="56">
        <f>INDEX(bs!$B$4:$X$68,MATCH($B38,bs!$A$4:$A$68,0),MATCH(J$6,bs!$B$3:$X$3,0))</f>
        <v>-2.2999999999999998</v>
      </c>
      <c r="K38" s="56">
        <f>INDEX(bs!$B$4:$X$68,MATCH($B38,bs!$A$4:$A$68,0),MATCH(K$6,bs!$B$3:$X$3,0))</f>
        <v>-1.3</v>
      </c>
      <c r="L38" s="56">
        <f>INDEX(bs!$B$4:$X$68,MATCH($B38,bs!$A$4:$A$68,0),MATCH(L$6,bs!$B$3:$X$3,0))</f>
        <v>2.8</v>
      </c>
      <c r="M38" s="28">
        <f>L38</f>
        <v>2.8</v>
      </c>
      <c r="N38" s="28">
        <f t="shared" ref="N38:S38" si="37">M38</f>
        <v>2.8</v>
      </c>
      <c r="O38" s="28">
        <f t="shared" si="37"/>
        <v>2.8</v>
      </c>
      <c r="P38" s="28">
        <f t="shared" si="37"/>
        <v>2.8</v>
      </c>
      <c r="Q38" s="28">
        <f t="shared" si="37"/>
        <v>2.8</v>
      </c>
      <c r="R38" s="28">
        <f t="shared" si="37"/>
        <v>2.8</v>
      </c>
      <c r="S38" s="28">
        <f t="shared" si="37"/>
        <v>2.8</v>
      </c>
    </row>
    <row r="39" spans="2:19" x14ac:dyDescent="0.3">
      <c r="B39" s="1" t="s">
        <v>21</v>
      </c>
      <c r="E39" s="56">
        <f>E40-SUM(E35:E38)</f>
        <v>-14.399999999999999</v>
      </c>
      <c r="F39" s="56">
        <f t="shared" ref="F39:L39" si="38">F40-SUM(F35:F38)</f>
        <v>0.59999999999999987</v>
      </c>
      <c r="G39" s="56">
        <f t="shared" si="38"/>
        <v>6.8</v>
      </c>
      <c r="H39" s="56">
        <f t="shared" si="38"/>
        <v>7.3</v>
      </c>
      <c r="I39" s="56">
        <f t="shared" si="38"/>
        <v>11.299999999999999</v>
      </c>
      <c r="J39" s="56">
        <f t="shared" si="38"/>
        <v>15.5</v>
      </c>
      <c r="K39" s="56">
        <f t="shared" si="38"/>
        <v>18.900000000000002</v>
      </c>
      <c r="L39" s="56">
        <f t="shared" si="38"/>
        <v>26.2</v>
      </c>
      <c r="M39" s="28">
        <f>L39+M60+M89</f>
        <v>32.851143433455213</v>
      </c>
      <c r="N39" s="28">
        <f t="shared" ref="N39:S39" si="39">M39+N60+N89</f>
        <v>38.824433295248198</v>
      </c>
      <c r="O39" s="28">
        <f t="shared" si="39"/>
        <v>45.409503112346684</v>
      </c>
      <c r="P39" s="28">
        <f t="shared" si="39"/>
        <v>52.556952847229127</v>
      </c>
      <c r="Q39" s="28">
        <f t="shared" si="39"/>
        <v>60.166977080016309</v>
      </c>
      <c r="R39" s="28">
        <f t="shared" si="39"/>
        <v>68.130144924584783</v>
      </c>
      <c r="S39" s="28">
        <f t="shared" si="39"/>
        <v>76.328769014420459</v>
      </c>
    </row>
    <row r="40" spans="2:19" ht="15" thickBot="1" x14ac:dyDescent="0.35">
      <c r="B40" s="17" t="s">
        <v>23</v>
      </c>
      <c r="C40" s="17"/>
      <c r="D40" s="17"/>
      <c r="E40" s="81">
        <f>INDEX(bs!$B$4:$X$68,MATCH($B40,bs!$A$4:$A$68,0),MATCH(E$6,bs!$B$3:$X$3,0))</f>
        <v>3</v>
      </c>
      <c r="F40" s="81">
        <f>INDEX(bs!$B$4:$X$68,MATCH($B40,bs!$A$4:$A$68,0),MATCH(F$6,bs!$B$3:$X$3,0))</f>
        <v>1.2</v>
      </c>
      <c r="G40" s="81">
        <f>INDEX(bs!$B$4:$X$68,MATCH($B40,bs!$A$4:$A$68,0),MATCH(G$6,bs!$B$3:$X$3,0))</f>
        <v>6.8</v>
      </c>
      <c r="H40" s="81">
        <f>INDEX(bs!$B$4:$X$68,MATCH($B40,bs!$A$4:$A$68,0),MATCH(H$6,bs!$B$3:$X$3,0))</f>
        <v>8.6</v>
      </c>
      <c r="I40" s="81">
        <f>INDEX(bs!$B$4:$X$68,MATCH($B40,bs!$A$4:$A$68,0),MATCH(I$6,bs!$B$3:$X$3,0))</f>
        <v>11.6</v>
      </c>
      <c r="J40" s="81">
        <f>INDEX(bs!$B$4:$X$68,MATCH($B40,bs!$A$4:$A$68,0),MATCH(J$6,bs!$B$3:$X$3,0))</f>
        <v>13.4</v>
      </c>
      <c r="K40" s="81">
        <f>INDEX(bs!$B$4:$X$68,MATCH($B40,bs!$A$4:$A$68,0),MATCH(K$6,bs!$B$3:$X$3,0))</f>
        <v>32.1</v>
      </c>
      <c r="L40" s="81">
        <f>INDEX(bs!$B$4:$X$68,MATCH($B40,bs!$A$4:$A$68,0),MATCH(L$6,bs!$B$3:$X$3,0))</f>
        <v>43.5</v>
      </c>
      <c r="M40" s="82">
        <f>SUM(M35:M39)</f>
        <v>50.151143433455218</v>
      </c>
      <c r="N40" s="82">
        <f>SUM(N35:N39)</f>
        <v>56.124433295248195</v>
      </c>
      <c r="O40" s="82">
        <f t="shared" ref="O40:S40" si="40">SUM(O35:O39)</f>
        <v>62.709503112346681</v>
      </c>
      <c r="P40" s="82">
        <f t="shared" si="40"/>
        <v>69.856952847229124</v>
      </c>
      <c r="Q40" s="82">
        <f t="shared" si="40"/>
        <v>77.466977080016306</v>
      </c>
      <c r="R40" s="82">
        <f t="shared" si="40"/>
        <v>85.430144924584781</v>
      </c>
      <c r="S40" s="82">
        <f t="shared" si="40"/>
        <v>93.628769014420456</v>
      </c>
    </row>
    <row r="41" spans="2:19" ht="15" thickTop="1" x14ac:dyDescent="0.3">
      <c r="B41" s="1" t="s">
        <v>22</v>
      </c>
      <c r="E41" s="56"/>
      <c r="F41" s="56"/>
      <c r="G41" s="56"/>
      <c r="H41" s="56"/>
      <c r="I41" s="56"/>
      <c r="J41" s="56"/>
      <c r="K41" s="56"/>
      <c r="L41" s="56"/>
      <c r="M41" s="28"/>
      <c r="N41" s="28"/>
      <c r="O41" s="28"/>
      <c r="P41" s="28"/>
      <c r="Q41" s="28"/>
      <c r="R41" s="28"/>
      <c r="S41" s="28"/>
    </row>
    <row r="42" spans="2:19" x14ac:dyDescent="0.3">
      <c r="B42" s="1" t="s">
        <v>105</v>
      </c>
      <c r="E42" s="56"/>
      <c r="F42" s="56"/>
      <c r="G42" s="56"/>
      <c r="H42" s="56"/>
      <c r="I42" s="56"/>
      <c r="J42" s="56"/>
      <c r="K42" s="56"/>
      <c r="L42" s="56"/>
      <c r="M42" s="28"/>
      <c r="N42" s="28"/>
      <c r="O42" s="28"/>
      <c r="P42" s="28"/>
      <c r="Q42" s="28"/>
      <c r="R42" s="28"/>
      <c r="S42" s="28"/>
    </row>
    <row r="43" spans="2:19" ht="15" thickBot="1" x14ac:dyDescent="0.35">
      <c r="B43" s="17" t="s">
        <v>23</v>
      </c>
      <c r="C43" s="17"/>
      <c r="D43" s="17"/>
      <c r="E43" s="81">
        <f>SUM(E40:E42)</f>
        <v>3</v>
      </c>
      <c r="F43" s="81">
        <f t="shared" ref="F43:S43" si="41">SUM(F40:F42)</f>
        <v>1.2</v>
      </c>
      <c r="G43" s="81">
        <f t="shared" si="41"/>
        <v>6.8</v>
      </c>
      <c r="H43" s="81">
        <f t="shared" si="41"/>
        <v>8.6</v>
      </c>
      <c r="I43" s="81">
        <f t="shared" si="41"/>
        <v>11.6</v>
      </c>
      <c r="J43" s="81">
        <f t="shared" si="41"/>
        <v>13.4</v>
      </c>
      <c r="K43" s="81">
        <f t="shared" si="41"/>
        <v>32.1</v>
      </c>
      <c r="L43" s="81">
        <f t="shared" si="41"/>
        <v>43.5</v>
      </c>
      <c r="M43" s="82">
        <f t="shared" si="41"/>
        <v>50.151143433455218</v>
      </c>
      <c r="N43" s="82">
        <f t="shared" si="41"/>
        <v>56.124433295248195</v>
      </c>
      <c r="O43" s="82">
        <f t="shared" si="41"/>
        <v>62.709503112346681</v>
      </c>
      <c r="P43" s="82">
        <f t="shared" si="41"/>
        <v>69.856952847229124</v>
      </c>
      <c r="Q43" s="82">
        <f t="shared" si="41"/>
        <v>77.466977080016306</v>
      </c>
      <c r="R43" s="82">
        <f t="shared" si="41"/>
        <v>85.430144924584781</v>
      </c>
      <c r="S43" s="82">
        <f t="shared" si="41"/>
        <v>93.628769014420456</v>
      </c>
    </row>
    <row r="44" spans="2:19" ht="15" thickTop="1" x14ac:dyDescent="0.3">
      <c r="E44" s="83"/>
      <c r="F44" s="83"/>
      <c r="G44" s="84"/>
      <c r="H44" s="84"/>
      <c r="I44" s="84"/>
      <c r="J44" s="84"/>
      <c r="K44" s="84"/>
      <c r="L44" s="84"/>
      <c r="M44" s="85"/>
      <c r="N44" s="85"/>
      <c r="O44" s="85"/>
      <c r="P44" s="85"/>
      <c r="Q44" s="85"/>
      <c r="R44" s="85"/>
      <c r="S44" s="85"/>
    </row>
    <row r="45" spans="2:19" x14ac:dyDescent="0.3">
      <c r="B45" s="21" t="s">
        <v>24</v>
      </c>
      <c r="E45" s="57">
        <f>ROUND(E33-E43,0)</f>
        <v>0</v>
      </c>
      <c r="F45" s="57">
        <f t="shared" ref="F45:S45" si="42">ROUND(F33-F43,0)</f>
        <v>0</v>
      </c>
      <c r="G45" s="57">
        <f t="shared" si="42"/>
        <v>0</v>
      </c>
      <c r="H45" s="57">
        <f t="shared" si="42"/>
        <v>0</v>
      </c>
      <c r="I45" s="57">
        <f t="shared" si="42"/>
        <v>0</v>
      </c>
      <c r="J45" s="57">
        <f t="shared" si="42"/>
        <v>0</v>
      </c>
      <c r="K45" s="57">
        <f t="shared" si="42"/>
        <v>0</v>
      </c>
      <c r="L45" s="57">
        <f t="shared" si="42"/>
        <v>0</v>
      </c>
      <c r="M45" s="30">
        <f t="shared" si="42"/>
        <v>0</v>
      </c>
      <c r="N45" s="30">
        <f t="shared" si="42"/>
        <v>0</v>
      </c>
      <c r="O45" s="30">
        <f t="shared" si="42"/>
        <v>0</v>
      </c>
      <c r="P45" s="30">
        <f t="shared" si="42"/>
        <v>0</v>
      </c>
      <c r="Q45" s="30">
        <f t="shared" si="42"/>
        <v>0</v>
      </c>
      <c r="R45" s="30">
        <f t="shared" si="42"/>
        <v>0</v>
      </c>
      <c r="S45" s="30">
        <f t="shared" si="42"/>
        <v>0</v>
      </c>
    </row>
    <row r="46" spans="2:19" x14ac:dyDescent="0.3">
      <c r="E46" s="83"/>
      <c r="F46" s="83"/>
      <c r="G46" s="84"/>
      <c r="H46" s="84"/>
      <c r="I46" s="84"/>
      <c r="J46" s="84"/>
      <c r="K46" s="84"/>
      <c r="L46" s="84"/>
      <c r="M46" s="85"/>
      <c r="N46" s="85"/>
      <c r="O46" s="85"/>
      <c r="P46" s="85"/>
      <c r="Q46" s="85"/>
      <c r="R46" s="85"/>
      <c r="S46" s="85"/>
    </row>
    <row r="47" spans="2:19" x14ac:dyDescent="0.3">
      <c r="B47" s="2" t="s">
        <v>30</v>
      </c>
      <c r="C47" s="3"/>
      <c r="D47" s="5"/>
      <c r="E47" s="83"/>
      <c r="F47" s="83"/>
      <c r="G47" s="83"/>
      <c r="H47" s="83"/>
      <c r="I47" s="83"/>
      <c r="J47" s="83"/>
      <c r="K47" s="83"/>
      <c r="L47" s="83"/>
      <c r="M47" s="86"/>
      <c r="N47" s="86"/>
      <c r="O47" s="86"/>
      <c r="P47" s="86"/>
      <c r="Q47" s="87"/>
      <c r="R47" s="87"/>
      <c r="S47" s="87"/>
    </row>
    <row r="48" spans="2:19" x14ac:dyDescent="0.3">
      <c r="E48" s="83"/>
      <c r="F48" s="83"/>
      <c r="G48" s="84"/>
      <c r="H48" s="84"/>
      <c r="I48" s="84"/>
      <c r="J48" s="84"/>
      <c r="K48" s="84"/>
      <c r="L48" s="84"/>
      <c r="M48" s="85"/>
      <c r="N48" s="85"/>
      <c r="O48" s="85"/>
      <c r="P48" s="85"/>
      <c r="Q48" s="85"/>
      <c r="R48" s="85"/>
      <c r="S48" s="85"/>
    </row>
    <row r="49" spans="2:19" x14ac:dyDescent="0.3">
      <c r="B49" s="1" t="s">
        <v>139</v>
      </c>
      <c r="E49" s="56">
        <f>INDEX('p&amp;l'!$B$5:$CO$107,MATCH($B49,'p&amp;l'!$A$5:$A$107,0),MATCH(E$6,'p&amp;l'!$B$3:$CO$3,0))</f>
        <v>76.8</v>
      </c>
      <c r="F49" s="56">
        <f>INDEX('p&amp;l'!$B$5:$CO$107,MATCH($B49,'p&amp;l'!$A$5:$A$107,0),MATCH(F$6,'p&amp;l'!$B$3:$CO$3,0))</f>
        <v>79</v>
      </c>
      <c r="G49" s="56">
        <f>INDEX('p&amp;l'!$B$5:$CO$107,MATCH($B49,'p&amp;l'!$A$5:$A$107,0),MATCH(G$6,'p&amp;l'!$B$3:$CO$3,0))</f>
        <v>110</v>
      </c>
      <c r="H49" s="56">
        <f>INDEX('p&amp;l'!$B$5:$CO$107,MATCH($B49,'p&amp;l'!$A$5:$A$107,0),MATCH(H$6,'p&amp;l'!$B$3:$CO$3,0))</f>
        <v>87.6</v>
      </c>
      <c r="I49" s="56">
        <f>INDEX('p&amp;l'!$B$5:$CO$107,MATCH($B49,'p&amp;l'!$A$5:$A$107,0),MATCH(I$6,'p&amp;l'!$B$3:$CO$3,0))</f>
        <v>123.3</v>
      </c>
      <c r="J49" s="56">
        <f>INDEX('p&amp;l'!$B$5:$CO$107,MATCH($B49,'p&amp;l'!$A$5:$A$107,0),MATCH(J$6,'p&amp;l'!$B$3:$CO$3,0))</f>
        <v>115.7</v>
      </c>
      <c r="K49" s="56">
        <f>INDEX('p&amp;l'!$B$5:$CO$107,MATCH($B49,'p&amp;l'!$A$5:$A$107,0),MATCH(K$6,'p&amp;l'!$B$3:$CO$3,0))</f>
        <v>136.4</v>
      </c>
      <c r="L49" s="56">
        <f>INDEX('p&amp;l'!$B$5:$CO$107,MATCH($B49,'p&amp;l'!$A$5:$A$107,0),MATCH(L$6,'p&amp;l'!$B$3:$CO$3,0))</f>
        <v>154.19999999999999</v>
      </c>
      <c r="M49" s="28">
        <f>L49*(1+summary!M24)</f>
        <v>164.70102</v>
      </c>
      <c r="N49" s="28">
        <f>M49*(1+summary!N24)</f>
        <v>175.22541517800002</v>
      </c>
      <c r="O49" s="28">
        <f>N49*(1+summary!O24)</f>
        <v>185.05556096948584</v>
      </c>
      <c r="P49" s="28">
        <f>O49*(1+summary!P24)</f>
        <v>194.30833901796015</v>
      </c>
      <c r="Q49" s="28">
        <f>P49*(1+summary!Q24)</f>
        <v>202.08067257867856</v>
      </c>
      <c r="R49" s="28">
        <f>Q49*(1+summary!R24)</f>
        <v>208.14309275603893</v>
      </c>
      <c r="S49" s="28">
        <f>R49*(1+summary!S24)</f>
        <v>212.30595461115971</v>
      </c>
    </row>
    <row r="50" spans="2:19" x14ac:dyDescent="0.3">
      <c r="B50" s="1" t="s">
        <v>33</v>
      </c>
      <c r="E50" s="56">
        <f>INDEX('p&amp;l'!$B$5:$CO$107,MATCH($B50,'p&amp;l'!$A$5:$A$107,0),MATCH(E$6,'p&amp;l'!$B$3:$CO$3,0))</f>
        <v>-56.7</v>
      </c>
      <c r="F50" s="56">
        <f>INDEX('p&amp;l'!$B$5:$CO$107,MATCH($B50,'p&amp;l'!$A$5:$A$107,0),MATCH(F$6,'p&amp;l'!$B$3:$CO$3,0))</f>
        <v>-60.1</v>
      </c>
      <c r="G50" s="56">
        <f>INDEX('p&amp;l'!$B$5:$CO$107,MATCH($B50,'p&amp;l'!$A$5:$A$107,0),MATCH(G$6,'p&amp;l'!$B$3:$CO$3,0))</f>
        <v>-85.4</v>
      </c>
      <c r="H50" s="56">
        <f>INDEX('p&amp;l'!$B$5:$CO$107,MATCH($B50,'p&amp;l'!$A$5:$A$107,0),MATCH(H$6,'p&amp;l'!$B$3:$CO$3,0))</f>
        <v>-68</v>
      </c>
      <c r="I50" s="56">
        <f>INDEX('p&amp;l'!$B$5:$CO$107,MATCH($B50,'p&amp;l'!$A$5:$A$107,0),MATCH(I$6,'p&amp;l'!$B$3:$CO$3,0))</f>
        <v>-96</v>
      </c>
      <c r="J50" s="56">
        <f>INDEX('p&amp;l'!$B$5:$CO$107,MATCH($B50,'p&amp;l'!$A$5:$A$107,0),MATCH(J$6,'p&amp;l'!$B$3:$CO$3,0))</f>
        <v>-89.1</v>
      </c>
      <c r="K50" s="56">
        <f>INDEX('p&amp;l'!$B$5:$CO$107,MATCH($B50,'p&amp;l'!$A$5:$A$107,0),MATCH(K$6,'p&amp;l'!$B$3:$CO$3,0))</f>
        <v>-106.1</v>
      </c>
      <c r="L50" s="56">
        <f>INDEX('p&amp;l'!$B$5:$CO$107,MATCH($B50,'p&amp;l'!$A$5:$A$107,0),MATCH(L$6,'p&amp;l'!$B$3:$CO$3,0))</f>
        <v>-115.8</v>
      </c>
      <c r="M50" s="28">
        <f>-M49*(1-summary!M26)</f>
        <v>-124.01986805999999</v>
      </c>
      <c r="N50" s="28">
        <f>-N49*(1-summary!N26)</f>
        <v>-134.62826996937036</v>
      </c>
      <c r="O50" s="28">
        <f>-O49*(1-summary!O26)</f>
        <v>-142.18091591465205</v>
      </c>
      <c r="P50" s="28">
        <f>-P49*(1-summary!P26)</f>
        <v>-149.28996171038466</v>
      </c>
      <c r="Q50" s="28">
        <f>-Q49*(1-summary!Q26)</f>
        <v>-155.26156017880004</v>
      </c>
      <c r="R50" s="28">
        <f>-R49*(1-summary!R26)</f>
        <v>-159.91940698416406</v>
      </c>
      <c r="S50" s="28">
        <f>-S49*(1-summary!S26)</f>
        <v>-163.11779512384734</v>
      </c>
    </row>
    <row r="51" spans="2:19" ht="15" thickBot="1" x14ac:dyDescent="0.35">
      <c r="B51" s="17" t="s">
        <v>34</v>
      </c>
      <c r="C51" s="17"/>
      <c r="D51" s="17"/>
      <c r="E51" s="81">
        <f>SUM(E49:E50)</f>
        <v>20.099999999999994</v>
      </c>
      <c r="F51" s="81">
        <f t="shared" ref="F51:L51" si="43">SUM(F49:F50)</f>
        <v>18.899999999999999</v>
      </c>
      <c r="G51" s="81">
        <f t="shared" si="43"/>
        <v>24.599999999999994</v>
      </c>
      <c r="H51" s="81">
        <f t="shared" si="43"/>
        <v>19.599999999999994</v>
      </c>
      <c r="I51" s="81">
        <f t="shared" si="43"/>
        <v>27.299999999999997</v>
      </c>
      <c r="J51" s="81">
        <f t="shared" si="43"/>
        <v>26.600000000000009</v>
      </c>
      <c r="K51" s="81">
        <f t="shared" si="43"/>
        <v>30.300000000000011</v>
      </c>
      <c r="L51" s="81">
        <f t="shared" si="43"/>
        <v>38.399999999999991</v>
      </c>
      <c r="M51" s="82">
        <f t="shared" ref="M51" si="44">SUM(M49:M50)</f>
        <v>40.681151940000007</v>
      </c>
      <c r="N51" s="82">
        <f t="shared" ref="N51" si="45">SUM(N49:N50)</f>
        <v>40.597145208629655</v>
      </c>
      <c r="O51" s="82">
        <f t="shared" ref="O51" si="46">SUM(O49:O50)</f>
        <v>42.874645054833792</v>
      </c>
      <c r="P51" s="82">
        <f t="shared" ref="P51" si="47">SUM(P49:P50)</f>
        <v>45.018377307575491</v>
      </c>
      <c r="Q51" s="82">
        <f t="shared" ref="Q51" si="48">SUM(Q49:Q50)</f>
        <v>46.81911239987852</v>
      </c>
      <c r="R51" s="82">
        <f t="shared" ref="R51" si="49">SUM(R49:R50)</f>
        <v>48.223685771874869</v>
      </c>
      <c r="S51" s="82">
        <f t="shared" ref="S51" si="50">SUM(S49:S50)</f>
        <v>49.188159487312362</v>
      </c>
    </row>
    <row r="52" spans="2:19" ht="15" thickTop="1" x14ac:dyDescent="0.3">
      <c r="B52" s="1" t="s">
        <v>35</v>
      </c>
      <c r="E52" s="56">
        <f>E54-E51-E53</f>
        <v>-14.699999999999994</v>
      </c>
      <c r="F52" s="56">
        <f t="shared" ref="F52:L52" si="51">F54-F51-F53</f>
        <v>-10.7</v>
      </c>
      <c r="G52" s="56">
        <f t="shared" si="51"/>
        <v>-13.099999999999994</v>
      </c>
      <c r="H52" s="56">
        <f t="shared" si="51"/>
        <v>-13.299999999999994</v>
      </c>
      <c r="I52" s="56">
        <f t="shared" si="51"/>
        <v>-16.899999999999999</v>
      </c>
      <c r="J52" s="56">
        <f t="shared" si="51"/>
        <v>-16.500000000000007</v>
      </c>
      <c r="K52" s="56">
        <f t="shared" si="51"/>
        <v>-18.600000000000012</v>
      </c>
      <c r="L52" s="56">
        <f t="shared" si="51"/>
        <v>-19.999999999999993</v>
      </c>
      <c r="M52" s="28">
        <f>L52-(M49-L49)*summary!M27</f>
        <v>-20.719062093023251</v>
      </c>
      <c r="N52" s="28">
        <f>M52-(N49-M49)*summary!N27</f>
        <v>-21.43972481193023</v>
      </c>
      <c r="O52" s="28">
        <f>N52-(O49-N49)*summary!O27</f>
        <v>-22.112848490158587</v>
      </c>
      <c r="P52" s="28">
        <f>O52-(P49-O49)*summary!P27</f>
        <v>-22.746436651100627</v>
      </c>
      <c r="Q52" s="28">
        <f>P52-(Q49-P49)*summary!Q27</f>
        <v>-23.278650706291938</v>
      </c>
      <c r="R52" s="28">
        <f>Q52-(R49-Q49)*summary!R27</f>
        <v>-23.693777669341163</v>
      </c>
      <c r="S52" s="28">
        <f>R52-(S49-R49)*summary!S27</f>
        <v>-23.978831517301629</v>
      </c>
    </row>
    <row r="53" spans="2:19" x14ac:dyDescent="0.3">
      <c r="B53" s="1" t="s">
        <v>255</v>
      </c>
      <c r="E53" s="56">
        <f>INDEX('p&amp;l'!$B$5:$CO$107,MATCH($B53,'p&amp;l'!$A$5:$A$107,0),MATCH(E$6,'p&amp;l'!$B$3:$CO$3,0))</f>
        <v>0</v>
      </c>
      <c r="F53" s="56">
        <f>INDEX('p&amp;l'!$B$5:$CO$107,MATCH($B53,'p&amp;l'!$A$5:$A$107,0),MATCH(F$6,'p&amp;l'!$B$3:$CO$3,0))</f>
        <v>-1.2</v>
      </c>
      <c r="G53" s="56">
        <f>INDEX('p&amp;l'!$B$5:$CO$107,MATCH($B53,'p&amp;l'!$A$5:$A$107,0),MATCH(G$6,'p&amp;l'!$B$3:$CO$3,0))</f>
        <v>-3.2</v>
      </c>
      <c r="H53" s="56">
        <f>INDEX('p&amp;l'!$B$5:$CO$107,MATCH($B53,'p&amp;l'!$A$5:$A$107,0),MATCH(H$6,'p&amp;l'!$B$3:$CO$3,0))</f>
        <v>0</v>
      </c>
      <c r="I53" s="56">
        <f>INDEX('p&amp;l'!$B$5:$CO$107,MATCH($B53,'p&amp;l'!$A$5:$A$107,0),MATCH(I$6,'p&amp;l'!$B$3:$CO$3,0))</f>
        <v>0</v>
      </c>
      <c r="J53" s="56">
        <f>INDEX('p&amp;l'!$B$5:$CO$107,MATCH($B53,'p&amp;l'!$A$5:$A$107,0),MATCH(J$6,'p&amp;l'!$B$3:$CO$3,0))</f>
        <v>0.5</v>
      </c>
      <c r="K53" s="56">
        <f>INDEX('p&amp;l'!$B$5:$CO$107,MATCH($B53,'p&amp;l'!$A$5:$A$107,0),MATCH(K$6,'p&amp;l'!$B$3:$CO$3,0))</f>
        <v>0</v>
      </c>
      <c r="L53" s="56">
        <f>INDEX('p&amp;l'!$B$5:$CO$107,MATCH($B53,'p&amp;l'!$A$5:$A$107,0),MATCH(L$6,'p&amp;l'!$B$3:$CO$3,0))</f>
        <v>0</v>
      </c>
      <c r="M53" s="28"/>
      <c r="N53" s="28"/>
      <c r="O53" s="28"/>
      <c r="P53" s="28"/>
      <c r="Q53" s="28"/>
      <c r="R53" s="28"/>
      <c r="S53" s="28"/>
    </row>
    <row r="54" spans="2:19" ht="15" thickBot="1" x14ac:dyDescent="0.35">
      <c r="B54" s="17" t="s">
        <v>36</v>
      </c>
      <c r="C54" s="17"/>
      <c r="D54" s="17"/>
      <c r="E54" s="81">
        <f>INDEX('p&amp;l'!$B$5:$CO$107,MATCH($B54,'p&amp;l'!$A$5:$A$107,0),MATCH(E$6,'p&amp;l'!$B$3:$CO$3,0))</f>
        <v>5.4</v>
      </c>
      <c r="F54" s="81">
        <f>INDEX('p&amp;l'!$B$5:$CO$107,MATCH($B54,'p&amp;l'!$A$5:$A$107,0),MATCH(F$6,'p&amp;l'!$B$3:$CO$3,0))</f>
        <v>7</v>
      </c>
      <c r="G54" s="81">
        <f>INDEX('p&amp;l'!$B$5:$CO$107,MATCH($B54,'p&amp;l'!$A$5:$A$107,0),MATCH(G$6,'p&amp;l'!$B$3:$CO$3,0))</f>
        <v>8.3000000000000007</v>
      </c>
      <c r="H54" s="81">
        <f>INDEX('p&amp;l'!$B$5:$CO$107,MATCH($B54,'p&amp;l'!$A$5:$A$107,0),MATCH(H$6,'p&amp;l'!$B$3:$CO$3,0))</f>
        <v>6.3</v>
      </c>
      <c r="I54" s="81">
        <f>INDEX('p&amp;l'!$B$5:$CO$107,MATCH($B54,'p&amp;l'!$A$5:$A$107,0),MATCH(I$6,'p&amp;l'!$B$3:$CO$3,0))</f>
        <v>10.4</v>
      </c>
      <c r="J54" s="81">
        <f>INDEX('p&amp;l'!$B$5:$CO$107,MATCH($B54,'p&amp;l'!$A$5:$A$107,0),MATCH(J$6,'p&amp;l'!$B$3:$CO$3,0))</f>
        <v>10.6</v>
      </c>
      <c r="K54" s="81">
        <f>INDEX('p&amp;l'!$B$5:$CO$107,MATCH($B54,'p&amp;l'!$A$5:$A$107,0),MATCH(K$6,'p&amp;l'!$B$3:$CO$3,0))</f>
        <v>11.7</v>
      </c>
      <c r="L54" s="81">
        <f>INDEX('p&amp;l'!$B$5:$CO$107,MATCH($B54,'p&amp;l'!$A$5:$A$107,0),MATCH(L$6,'p&amp;l'!$B$3:$CO$3,0))</f>
        <v>18.399999999999999</v>
      </c>
      <c r="M54" s="82">
        <f>SUM(M51:M53)</f>
        <v>19.962089846976756</v>
      </c>
      <c r="N54" s="82">
        <f t="shared" ref="N54:S54" si="52">SUM(N51:N53)</f>
        <v>19.157420396699425</v>
      </c>
      <c r="O54" s="82">
        <f t="shared" si="52"/>
        <v>20.761796564675205</v>
      </c>
      <c r="P54" s="82">
        <f t="shared" si="52"/>
        <v>22.271940656474865</v>
      </c>
      <c r="Q54" s="82">
        <f t="shared" si="52"/>
        <v>23.540461693586582</v>
      </c>
      <c r="R54" s="82">
        <f t="shared" si="52"/>
        <v>24.529908102533707</v>
      </c>
      <c r="S54" s="82">
        <f t="shared" si="52"/>
        <v>25.209327970010733</v>
      </c>
    </row>
    <row r="55" spans="2:19" ht="15" thickTop="1" x14ac:dyDescent="0.3">
      <c r="B55" s="1" t="s">
        <v>37</v>
      </c>
      <c r="E55" s="56">
        <f>E56-E54</f>
        <v>-0.40000000000000036</v>
      </c>
      <c r="F55" s="56">
        <f>F56-F54</f>
        <v>-0.29999999999999982</v>
      </c>
      <c r="G55" s="56">
        <f t="shared" ref="G55:L55" si="53">G56-G54</f>
        <v>-0.40000000000000036</v>
      </c>
      <c r="H55" s="56">
        <f t="shared" si="53"/>
        <v>-0.5</v>
      </c>
      <c r="I55" s="56">
        <f t="shared" si="53"/>
        <v>-1.5</v>
      </c>
      <c r="J55" s="56">
        <f t="shared" si="53"/>
        <v>-1.5</v>
      </c>
      <c r="K55" s="56">
        <f t="shared" si="53"/>
        <v>-1.6999999999999993</v>
      </c>
      <c r="L55" s="56">
        <f t="shared" si="53"/>
        <v>-2.0999999999999979</v>
      </c>
      <c r="M55" s="28">
        <f>(L19)*-summary!M28</f>
        <v>-1.92</v>
      </c>
      <c r="N55" s="28">
        <f>(M19)*-summary!N28</f>
        <v>-1.8364243406568519</v>
      </c>
      <c r="O55" s="28">
        <f>(N19)*-summary!O28</f>
        <v>-1.8093872944846208</v>
      </c>
      <c r="P55" s="28">
        <f>(O19)*-summary!P28</f>
        <v>-1.8198516055270517</v>
      </c>
      <c r="Q55" s="28">
        <f>(P19)*-summary!Q28</f>
        <v>-1.8548406482261446</v>
      </c>
      <c r="R55" s="28">
        <f>(Q19)*-summary!R28</f>
        <v>-1.9025707590897976</v>
      </c>
      <c r="S55" s="28">
        <f>(R19)*-summary!S28</f>
        <v>-1.9541073058542997</v>
      </c>
    </row>
    <row r="56" spans="2:19" ht="15" thickBot="1" x14ac:dyDescent="0.35">
      <c r="B56" s="17" t="s">
        <v>38</v>
      </c>
      <c r="C56" s="17"/>
      <c r="D56" s="17"/>
      <c r="E56" s="81">
        <f>INDEX('p&amp;l'!$B$5:$CO$107,MATCH($B56,'p&amp;l'!$A$5:$A$107,0),MATCH(E$6,'p&amp;l'!$B$3:$CO$3,0))</f>
        <v>5</v>
      </c>
      <c r="F56" s="81">
        <f>INDEX('p&amp;l'!$B$5:$CO$107,MATCH($B56,'p&amp;l'!$A$5:$A$107,0),MATCH(F$6,'p&amp;l'!$B$3:$CO$3,0))</f>
        <v>6.7</v>
      </c>
      <c r="G56" s="81">
        <f>INDEX('p&amp;l'!$B$5:$CO$107,MATCH($B56,'p&amp;l'!$A$5:$A$107,0),MATCH(G$6,'p&amp;l'!$B$3:$CO$3,0))</f>
        <v>7.9</v>
      </c>
      <c r="H56" s="81">
        <f>INDEX('p&amp;l'!$B$5:$CO$107,MATCH($B56,'p&amp;l'!$A$5:$A$107,0),MATCH(H$6,'p&amp;l'!$B$3:$CO$3,0))</f>
        <v>5.8</v>
      </c>
      <c r="I56" s="81">
        <f>INDEX('p&amp;l'!$B$5:$CO$107,MATCH($B56,'p&amp;l'!$A$5:$A$107,0),MATCH(I$6,'p&amp;l'!$B$3:$CO$3,0))</f>
        <v>8.9</v>
      </c>
      <c r="J56" s="81">
        <f>INDEX('p&amp;l'!$B$5:$CO$107,MATCH($B56,'p&amp;l'!$A$5:$A$107,0),MATCH(J$6,'p&amp;l'!$B$3:$CO$3,0))</f>
        <v>9.1</v>
      </c>
      <c r="K56" s="81">
        <f>INDEX('p&amp;l'!$B$5:$CO$107,MATCH($B56,'p&amp;l'!$A$5:$A$107,0),MATCH(K$6,'p&amp;l'!$B$3:$CO$3,0))</f>
        <v>10</v>
      </c>
      <c r="L56" s="81">
        <f>INDEX('p&amp;l'!$B$5:$CO$107,MATCH($B56,'p&amp;l'!$A$5:$A$107,0),MATCH(L$6,'p&amp;l'!$B$3:$CO$3,0))</f>
        <v>16.3</v>
      </c>
      <c r="M56" s="82">
        <f>SUM(M54:M55)</f>
        <v>18.042089846976758</v>
      </c>
      <c r="N56" s="82">
        <f>SUM(N54:N55)</f>
        <v>17.320996056042574</v>
      </c>
      <c r="O56" s="82">
        <f t="shared" ref="O56:Q56" si="54">SUM(O54:O55)</f>
        <v>18.952409270190586</v>
      </c>
      <c r="P56" s="82">
        <f t="shared" si="54"/>
        <v>20.452089050947812</v>
      </c>
      <c r="Q56" s="82">
        <f t="shared" si="54"/>
        <v>21.685621045360438</v>
      </c>
      <c r="R56" s="82">
        <f t="shared" ref="R56" si="55">SUM(R54:R55)</f>
        <v>22.627337343443909</v>
      </c>
      <c r="S56" s="82">
        <f t="shared" ref="S56" si="56">SUM(S54:S55)</f>
        <v>23.255220664156433</v>
      </c>
    </row>
    <row r="57" spans="2:19" ht="15" thickTop="1" x14ac:dyDescent="0.3">
      <c r="B57" s="1" t="s">
        <v>44</v>
      </c>
      <c r="E57" s="56">
        <f>INDEX('p&amp;l'!$B$5:$CO$107,MATCH($B57,'p&amp;l'!$A$5:$A$107,0),MATCH(E$6,'p&amp;l'!$B$3:$CO$3,0))</f>
        <v>-0.6</v>
      </c>
      <c r="F57" s="56">
        <f>INDEX('p&amp;l'!$B$5:$CO$107,MATCH($B57,'p&amp;l'!$A$5:$A$107,0),MATCH(F$6,'p&amp;l'!$B$3:$CO$3,0))</f>
        <v>-0.4</v>
      </c>
      <c r="G57" s="56">
        <f>INDEX('p&amp;l'!$B$5:$CO$107,MATCH($B57,'p&amp;l'!$A$5:$A$107,0),MATCH(G$6,'p&amp;l'!$B$3:$CO$3,0))</f>
        <v>-0.5</v>
      </c>
      <c r="H57" s="56">
        <f>INDEX('p&amp;l'!$B$5:$CO$107,MATCH($B57,'p&amp;l'!$A$5:$A$107,0),MATCH(H$6,'p&amp;l'!$B$3:$CO$3,0))</f>
        <v>-0.4</v>
      </c>
      <c r="I57" s="56">
        <f>INDEX('p&amp;l'!$B$5:$CO$107,MATCH($B57,'p&amp;l'!$A$5:$A$107,0),MATCH(I$6,'p&amp;l'!$B$3:$CO$3,0))</f>
        <v>-0.8</v>
      </c>
      <c r="J57" s="56">
        <f>INDEX('p&amp;l'!$B$5:$CO$107,MATCH($B57,'p&amp;l'!$A$5:$A$107,0),MATCH(J$6,'p&amp;l'!$B$3:$CO$3,0))</f>
        <v>-0.8</v>
      </c>
      <c r="K57" s="56">
        <f>INDEX('p&amp;l'!$B$5:$CO$107,MATCH($B57,'p&amp;l'!$A$5:$A$107,0),MATCH(K$6,'p&amp;l'!$B$3:$CO$3,0))</f>
        <v>-0.5</v>
      </c>
      <c r="L57" s="56">
        <f>INDEX('p&amp;l'!$B$5:$CO$107,MATCH($B57,'p&amp;l'!$A$5:$A$107,0),MATCH(L$6,'p&amp;l'!$B$3:$CO$3,0))</f>
        <v>-0.9</v>
      </c>
      <c r="M57" s="28">
        <f>-SUM(L28:M28,L26:M26)/2*summary!M29</f>
        <v>-1.6195134680749974</v>
      </c>
      <c r="N57" s="28">
        <f>-SUM(M28:N28,M26:N26)/2*summary!N29</f>
        <v>-1.3922230912612843</v>
      </c>
      <c r="O57" s="28">
        <f>-SUM(N28:O28,N26:O26)/2*summary!O29</f>
        <v>-1.3922230912612843</v>
      </c>
      <c r="P57" s="28">
        <f>-SUM(O28:P28,O26:P26)/2*summary!P29</f>
        <v>-1.3922230912612843</v>
      </c>
      <c r="Q57" s="28">
        <f>-SUM(P28:Q28,P26:Q26)/2*summary!Q29</f>
        <v>-1.3922230912612843</v>
      </c>
      <c r="R57" s="28">
        <f>-SUM(Q28:R28,Q26:R26)/2*summary!R29</f>
        <v>-1.3922230912612843</v>
      </c>
      <c r="S57" s="28">
        <f>-SUM(R28:S28,R26:S26)/2*summary!S29</f>
        <v>-1.3922230912612843</v>
      </c>
    </row>
    <row r="58" spans="2:19" ht="15" thickBot="1" x14ac:dyDescent="0.35">
      <c r="B58" s="17" t="s">
        <v>39</v>
      </c>
      <c r="C58" s="17"/>
      <c r="D58" s="17"/>
      <c r="E58" s="81">
        <f t="shared" ref="E58:S58" si="57">SUM(E56:E57)</f>
        <v>4.4000000000000004</v>
      </c>
      <c r="F58" s="81">
        <f t="shared" si="57"/>
        <v>6.3</v>
      </c>
      <c r="G58" s="81">
        <f t="shared" si="57"/>
        <v>7.4</v>
      </c>
      <c r="H58" s="81">
        <f t="shared" si="57"/>
        <v>5.3999999999999995</v>
      </c>
      <c r="I58" s="81">
        <f t="shared" si="57"/>
        <v>8.1</v>
      </c>
      <c r="J58" s="81">
        <f t="shared" si="57"/>
        <v>8.2999999999999989</v>
      </c>
      <c r="K58" s="81">
        <f t="shared" si="57"/>
        <v>9.5</v>
      </c>
      <c r="L58" s="81">
        <f t="shared" si="57"/>
        <v>15.4</v>
      </c>
      <c r="M58" s="82">
        <f t="shared" si="57"/>
        <v>16.422576378901759</v>
      </c>
      <c r="N58" s="82">
        <f t="shared" si="57"/>
        <v>15.92877296478129</v>
      </c>
      <c r="O58" s="82">
        <f t="shared" si="57"/>
        <v>17.5601861789293</v>
      </c>
      <c r="P58" s="82">
        <f t="shared" si="57"/>
        <v>19.059865959686526</v>
      </c>
      <c r="Q58" s="82">
        <f t="shared" si="57"/>
        <v>20.293397954099156</v>
      </c>
      <c r="R58" s="82">
        <f t="shared" si="57"/>
        <v>21.235114252182626</v>
      </c>
      <c r="S58" s="82">
        <f t="shared" si="57"/>
        <v>21.862997572895146</v>
      </c>
    </row>
    <row r="59" spans="2:19" ht="15" thickTop="1" x14ac:dyDescent="0.3">
      <c r="B59" s="1" t="s">
        <v>256</v>
      </c>
      <c r="E59" s="56">
        <f>INDEX('p&amp;l'!$B$5:$CO$107,MATCH($B59,'p&amp;l'!$A$5:$A$107,0),MATCH(E$6,'p&amp;l'!$B$3:$CO$3,0))</f>
        <v>-0.8</v>
      </c>
      <c r="F59" s="56">
        <f>INDEX('p&amp;l'!$B$5:$CO$107,MATCH($B59,'p&amp;l'!$A$5:$A$107,0),MATCH(F$6,'p&amp;l'!$B$3:$CO$3,0))</f>
        <v>-1.4</v>
      </c>
      <c r="G59" s="56">
        <f>INDEX('p&amp;l'!$B$5:$CO$107,MATCH($B59,'p&amp;l'!$A$5:$A$107,0),MATCH(G$6,'p&amp;l'!$B$3:$CO$3,0))</f>
        <v>-1.9</v>
      </c>
      <c r="H59" s="56">
        <f>INDEX('p&amp;l'!$B$5:$CO$107,MATCH($B59,'p&amp;l'!$A$5:$A$107,0),MATCH(H$6,'p&amp;l'!$B$3:$CO$3,0))</f>
        <v>-1.1000000000000001</v>
      </c>
      <c r="I59" s="56">
        <f>INDEX('p&amp;l'!$B$5:$CO$107,MATCH($B59,'p&amp;l'!$A$5:$A$107,0),MATCH(I$6,'p&amp;l'!$B$3:$CO$3,0))</f>
        <v>-1.7</v>
      </c>
      <c r="J59" s="56">
        <f>INDEX('p&amp;l'!$B$5:$CO$107,MATCH($B59,'p&amp;l'!$A$5:$A$107,0),MATCH(J$6,'p&amp;l'!$B$3:$CO$3,0))</f>
        <v>-1.7</v>
      </c>
      <c r="K59" s="56">
        <f>INDEX('p&amp;l'!$B$5:$CO$107,MATCH($B59,'p&amp;l'!$A$5:$A$107,0),MATCH(K$6,'p&amp;l'!$B$3:$CO$3,0))</f>
        <v>-2.2000000000000002</v>
      </c>
      <c r="L59" s="56">
        <f>INDEX('p&amp;l'!$B$5:$CO$107,MATCH($B59,'p&amp;l'!$A$5:$A$107,0),MATCH(L$6,'p&amp;l'!$B$3:$CO$3,0))</f>
        <v>-3.1</v>
      </c>
      <c r="M59" s="28">
        <f>-M58*summary!M30</f>
        <v>-3.1202895119913343</v>
      </c>
      <c r="N59" s="28">
        <f>-N58*summary!N30</f>
        <v>-3.9821932411953225</v>
      </c>
      <c r="O59" s="28">
        <f>-O58*summary!O30</f>
        <v>-4.3900465447323249</v>
      </c>
      <c r="P59" s="28">
        <f>-P58*summary!P30</f>
        <v>-4.7649664899216315</v>
      </c>
      <c r="Q59" s="28">
        <f>-Q58*summary!Q30</f>
        <v>-5.073349488524789</v>
      </c>
      <c r="R59" s="28">
        <f>-R58*summary!R30</f>
        <v>-5.3087785630456565</v>
      </c>
      <c r="S59" s="28">
        <f>-S58*summary!S30</f>
        <v>-5.4657493932237866</v>
      </c>
    </row>
    <row r="60" spans="2:19" ht="15" thickBot="1" x14ac:dyDescent="0.35">
      <c r="B60" s="17" t="s">
        <v>41</v>
      </c>
      <c r="C60" s="17"/>
      <c r="D60" s="17"/>
      <c r="E60" s="81">
        <f t="shared" ref="E60:Q60" si="58">SUM(E58:E59)</f>
        <v>3.6000000000000005</v>
      </c>
      <c r="F60" s="81">
        <f t="shared" si="58"/>
        <v>4.9000000000000004</v>
      </c>
      <c r="G60" s="81">
        <f t="shared" si="58"/>
        <v>5.5</v>
      </c>
      <c r="H60" s="81">
        <f t="shared" si="58"/>
        <v>4.2999999999999989</v>
      </c>
      <c r="I60" s="81">
        <f t="shared" si="58"/>
        <v>6.3999999999999995</v>
      </c>
      <c r="J60" s="81">
        <f t="shared" si="58"/>
        <v>6.5999999999999988</v>
      </c>
      <c r="K60" s="81">
        <f t="shared" si="58"/>
        <v>7.3</v>
      </c>
      <c r="L60" s="81">
        <f t="shared" si="58"/>
        <v>12.3</v>
      </c>
      <c r="M60" s="82">
        <f>SUM(M58:M59)</f>
        <v>13.302286866910425</v>
      </c>
      <c r="N60" s="82">
        <f t="shared" ref="N60" si="59">SUM(N58:N59)</f>
        <v>11.946579723585968</v>
      </c>
      <c r="O60" s="82">
        <f t="shared" si="58"/>
        <v>13.170139634196975</v>
      </c>
      <c r="P60" s="82">
        <f t="shared" si="58"/>
        <v>14.294899469764895</v>
      </c>
      <c r="Q60" s="82">
        <f t="shared" si="58"/>
        <v>15.220048465574367</v>
      </c>
      <c r="R60" s="82">
        <f t="shared" ref="R60" si="60">SUM(R58:R59)</f>
        <v>15.92633568913697</v>
      </c>
      <c r="S60" s="82">
        <f>SUM(S58:S59)</f>
        <v>16.397248179671358</v>
      </c>
    </row>
    <row r="61" spans="2:19" ht="15" thickTop="1" x14ac:dyDescent="0.3">
      <c r="E61" s="56"/>
      <c r="F61" s="56"/>
      <c r="G61" s="56"/>
      <c r="H61" s="56"/>
      <c r="I61" s="56"/>
      <c r="J61" s="56"/>
      <c r="K61" s="56"/>
      <c r="L61" s="56"/>
      <c r="M61" s="28"/>
      <c r="N61" s="28"/>
      <c r="O61" s="28"/>
      <c r="P61" s="28"/>
      <c r="Q61" s="28"/>
      <c r="R61" s="28"/>
      <c r="S61" s="28"/>
    </row>
    <row r="62" spans="2:19" x14ac:dyDescent="0.3">
      <c r="B62" s="1" t="s">
        <v>274</v>
      </c>
      <c r="E62" s="56">
        <f>INDEX('p&amp;l'!$B$5:$CO$107,MATCH($B62,'p&amp;l'!$A$5:$A$107,0),MATCH(E$6,'p&amp;l'!$B$3:$CO$3,0))</f>
        <v>82.2</v>
      </c>
      <c r="F62" s="56">
        <f>INDEX('p&amp;l'!$B$5:$CO$107,MATCH($B62,'p&amp;l'!$A$5:$A$107,0),MATCH(F$6,'p&amp;l'!$B$3:$CO$3,0))</f>
        <v>73.900000000000006</v>
      </c>
      <c r="G62" s="56">
        <f>INDEX('p&amp;l'!$B$5:$CO$107,MATCH($B62,'p&amp;l'!$A$5:$A$107,0),MATCH(G$6,'p&amp;l'!$B$3:$CO$3,0))</f>
        <v>77.3</v>
      </c>
      <c r="H62" s="56">
        <f>INDEX('p&amp;l'!$B$5:$CO$107,MATCH($B62,'p&amp;l'!$A$5:$A$107,0),MATCH(H$6,'p&amp;l'!$B$3:$CO$3,0))</f>
        <v>82.2</v>
      </c>
      <c r="I62" s="56">
        <f>INDEX('p&amp;l'!$B$5:$CO$107,MATCH($B62,'p&amp;l'!$A$5:$A$107,0),MATCH(I$6,'p&amp;l'!$B$3:$CO$3,0))</f>
        <v>79.900000000000006</v>
      </c>
      <c r="J62" s="56">
        <f>INDEX('p&amp;l'!$B$5:$CO$107,MATCH($B62,'p&amp;l'!$A$5:$A$107,0),MATCH(J$6,'p&amp;l'!$B$3:$CO$3,0))</f>
        <v>78.5</v>
      </c>
      <c r="K62" s="56">
        <f>INDEX('p&amp;l'!$B$5:$CO$107,MATCH($B62,'p&amp;l'!$A$5:$A$107,0),MATCH(K$6,'p&amp;l'!$B$3:$CO$3,0))</f>
        <v>78.5</v>
      </c>
      <c r="L62" s="56">
        <f>INDEX('p&amp;l'!$B$5:$CO$107,MATCH($B62,'p&amp;l'!$A$5:$A$107,0),MATCH(L$6,'p&amp;l'!$B$3:$CO$3,0))</f>
        <v>86.4</v>
      </c>
      <c r="M62" s="28"/>
      <c r="N62" s="28"/>
      <c r="O62" s="28"/>
      <c r="P62" s="28"/>
      <c r="Q62" s="28"/>
      <c r="R62" s="28"/>
      <c r="S62" s="28"/>
    </row>
    <row r="63" spans="2:19" x14ac:dyDescent="0.3">
      <c r="B63" s="1" t="s">
        <v>304</v>
      </c>
      <c r="E63" s="56">
        <f>E60/E62*100</f>
        <v>4.3795620437956204</v>
      </c>
      <c r="F63" s="56">
        <f t="shared" ref="F63:L63" si="61">F60/F62*100</f>
        <v>6.6305818673883632</v>
      </c>
      <c r="G63" s="56">
        <f t="shared" si="61"/>
        <v>7.1151358344113849</v>
      </c>
      <c r="H63" s="56">
        <f t="shared" si="61"/>
        <v>5.2311435523114342</v>
      </c>
      <c r="I63" s="56">
        <f t="shared" si="61"/>
        <v>8.0100125156445543</v>
      </c>
      <c r="J63" s="56">
        <f t="shared" si="61"/>
        <v>8.407643312101909</v>
      </c>
      <c r="K63" s="56">
        <f t="shared" si="61"/>
        <v>9.2993630573248396</v>
      </c>
      <c r="L63" s="56">
        <f t="shared" si="61"/>
        <v>14.236111111111111</v>
      </c>
      <c r="M63" s="28">
        <f>M60/$L$62*100</f>
        <v>15.396165355220399</v>
      </c>
      <c r="N63" s="28">
        <f t="shared" ref="N63:S63" si="62">N60/$L$62*100</f>
        <v>13.827059865261537</v>
      </c>
      <c r="O63" s="28">
        <f t="shared" si="62"/>
        <v>15.24321716920946</v>
      </c>
      <c r="P63" s="28">
        <f t="shared" si="62"/>
        <v>16.545022534450109</v>
      </c>
      <c r="Q63" s="28">
        <f t="shared" si="62"/>
        <v>17.615796835155518</v>
      </c>
      <c r="R63" s="28">
        <f t="shared" si="62"/>
        <v>18.433258899464082</v>
      </c>
      <c r="S63" s="28">
        <f t="shared" si="62"/>
        <v>18.978296504249258</v>
      </c>
    </row>
    <row r="64" spans="2:19" x14ac:dyDescent="0.3">
      <c r="B64" s="1" t="s">
        <v>275</v>
      </c>
      <c r="E64" s="56">
        <f>INDEX('p&amp;l'!$B$5:$CO$107,MATCH($B64,'p&amp;l'!$A$5:$A$107,0),MATCH(E$6,'p&amp;l'!$B$3:$CO$3,0))</f>
        <v>82.2</v>
      </c>
      <c r="F64" s="56">
        <f>INDEX('p&amp;l'!$B$5:$CO$107,MATCH($B64,'p&amp;l'!$A$5:$A$107,0),MATCH(F$6,'p&amp;l'!$B$3:$CO$3,0))</f>
        <v>73.900000000000006</v>
      </c>
      <c r="G64" s="56">
        <f>INDEX('p&amp;l'!$B$5:$CO$107,MATCH($B64,'p&amp;l'!$A$5:$A$107,0),MATCH(G$6,'p&amp;l'!$B$3:$CO$3,0))</f>
        <v>78.2</v>
      </c>
      <c r="H64" s="56">
        <f>INDEX('p&amp;l'!$B$5:$CO$107,MATCH($B64,'p&amp;l'!$A$5:$A$107,0),MATCH(H$6,'p&amp;l'!$B$3:$CO$3,0))</f>
        <v>82.2</v>
      </c>
      <c r="I64" s="56">
        <f>INDEX('p&amp;l'!$B$5:$CO$107,MATCH($B64,'p&amp;l'!$A$5:$A$107,0),MATCH(I$6,'p&amp;l'!$B$3:$CO$3,0))</f>
        <v>80.400000000000006</v>
      </c>
      <c r="J64" s="56">
        <f>INDEX('p&amp;l'!$B$5:$CO$107,MATCH($B64,'p&amp;l'!$A$5:$A$107,0),MATCH(J$6,'p&amp;l'!$B$3:$CO$3,0))</f>
        <v>79.900000000000006</v>
      </c>
      <c r="K64" s="56">
        <f>INDEX('p&amp;l'!$B$5:$CO$107,MATCH($B64,'p&amp;l'!$A$5:$A$107,0),MATCH(K$6,'p&amp;l'!$B$3:$CO$3,0))</f>
        <v>80.5</v>
      </c>
      <c r="L64" s="56">
        <f>INDEX('p&amp;l'!$B$5:$CO$107,MATCH($B64,'p&amp;l'!$A$5:$A$107,0),MATCH(L$6,'p&amp;l'!$B$3:$CO$3,0))</f>
        <v>88.9</v>
      </c>
      <c r="M64" s="85"/>
      <c r="N64" s="85"/>
      <c r="O64" s="85"/>
      <c r="P64" s="85"/>
      <c r="Q64" s="85"/>
      <c r="R64" s="85"/>
      <c r="S64" s="85"/>
    </row>
    <row r="65" spans="2:19" x14ac:dyDescent="0.3">
      <c r="B65" s="1" t="s">
        <v>305</v>
      </c>
      <c r="E65" s="56">
        <f>E60/E64*100</f>
        <v>4.3795620437956204</v>
      </c>
      <c r="F65" s="56">
        <f t="shared" ref="F65:L65" si="63">F60/F64*100</f>
        <v>6.6305818673883632</v>
      </c>
      <c r="G65" s="56">
        <f t="shared" si="63"/>
        <v>7.0332480818414327</v>
      </c>
      <c r="H65" s="56">
        <f t="shared" si="63"/>
        <v>5.2311435523114342</v>
      </c>
      <c r="I65" s="56">
        <f t="shared" si="63"/>
        <v>7.9601990049751228</v>
      </c>
      <c r="J65" s="56">
        <f t="shared" si="63"/>
        <v>8.2603254067584455</v>
      </c>
      <c r="K65" s="56">
        <f t="shared" si="63"/>
        <v>9.0683229813664603</v>
      </c>
      <c r="L65" s="56">
        <f t="shared" si="63"/>
        <v>13.835770528683913</v>
      </c>
      <c r="M65" s="28">
        <f>M60/$L$64*100</f>
        <v>14.963202324983605</v>
      </c>
      <c r="N65" s="28">
        <f t="shared" ref="N65:S65" si="64">N60/$L$64*100</f>
        <v>13.438222411232809</v>
      </c>
      <c r="O65" s="28">
        <f t="shared" si="64"/>
        <v>14.814555269062962</v>
      </c>
      <c r="P65" s="28">
        <f t="shared" si="64"/>
        <v>16.079751934493693</v>
      </c>
      <c r="Q65" s="28">
        <f t="shared" si="64"/>
        <v>17.120414471962167</v>
      </c>
      <c r="R65" s="28">
        <f t="shared" si="64"/>
        <v>17.914888289242935</v>
      </c>
      <c r="S65" s="28">
        <f t="shared" si="64"/>
        <v>18.444598627301865</v>
      </c>
    </row>
    <row r="66" spans="2:19" x14ac:dyDescent="0.3">
      <c r="E66" s="83"/>
      <c r="F66" s="83"/>
      <c r="G66" s="84"/>
      <c r="H66" s="84"/>
      <c r="I66" s="84"/>
      <c r="J66" s="84"/>
      <c r="K66" s="84"/>
      <c r="L66" s="84"/>
      <c r="M66" s="85"/>
      <c r="N66" s="85"/>
      <c r="O66" s="85"/>
      <c r="P66" s="85"/>
      <c r="Q66" s="85"/>
      <c r="R66" s="85"/>
      <c r="S66" s="85"/>
    </row>
    <row r="67" spans="2:19" x14ac:dyDescent="0.3">
      <c r="B67" s="21" t="s">
        <v>42</v>
      </c>
      <c r="D67" s="72" t="s">
        <v>142</v>
      </c>
      <c r="E67" s="88">
        <f>INDEX('p&amp;l'!$B$5:$CO$107,MATCH($D67,'p&amp;l'!$A$5:$A$107,0),MATCH(E$6,'p&amp;l'!$B$3:$CO$3,0))</f>
        <v>3.6</v>
      </c>
      <c r="F67" s="88">
        <f>INDEX('p&amp;l'!$B$5:$CO$107,MATCH($D67,'p&amp;l'!$A$5:$A$107,0),MATCH(F$6,'p&amp;l'!$B$3:$CO$3,0))</f>
        <v>4.9000000000000004</v>
      </c>
      <c r="G67" s="88">
        <f>INDEX('p&amp;l'!$B$5:$CO$107,MATCH($D67,'p&amp;l'!$A$5:$A$107,0),MATCH(G$6,'p&amp;l'!$B$3:$CO$3,0))</f>
        <v>5.6</v>
      </c>
      <c r="H67" s="88">
        <f>INDEX('p&amp;l'!$B$5:$CO$107,MATCH($D67,'p&amp;l'!$A$5:$A$107,0),MATCH(H$6,'p&amp;l'!$B$3:$CO$3,0))</f>
        <v>4.3</v>
      </c>
      <c r="I67" s="88">
        <f>INDEX('p&amp;l'!$B$5:$CO$107,MATCH($D67,'p&amp;l'!$A$5:$A$107,0),MATCH(I$6,'p&amp;l'!$B$3:$CO$3,0))</f>
        <v>6.4</v>
      </c>
      <c r="J67" s="88">
        <f>INDEX('p&amp;l'!$B$5:$CO$107,MATCH($D67,'p&amp;l'!$A$5:$A$107,0),MATCH(J$6,'p&amp;l'!$B$3:$CO$3,0))</f>
        <v>6.6</v>
      </c>
      <c r="K67" s="88">
        <f>INDEX('p&amp;l'!$B$5:$CO$107,MATCH($D67,'p&amp;l'!$A$5:$A$107,0),MATCH(K$6,'p&amp;l'!$B$3:$CO$3,0))</f>
        <v>7.3</v>
      </c>
      <c r="L67" s="88">
        <f>INDEX('p&amp;l'!$B$5:$CO$107,MATCH($D67,'p&amp;l'!$A$5:$A$107,0),MATCH(L$6,'p&amp;l'!$B$3:$CO$3,0))</f>
        <v>12.4</v>
      </c>
      <c r="M67" s="88"/>
      <c r="N67" s="88"/>
      <c r="O67" s="88"/>
      <c r="P67" s="88"/>
      <c r="Q67" s="88"/>
      <c r="R67" s="88"/>
      <c r="S67" s="88"/>
    </row>
    <row r="68" spans="2:19" x14ac:dyDescent="0.3">
      <c r="B68" s="21" t="s">
        <v>24</v>
      </c>
      <c r="E68" s="57">
        <f t="shared" ref="E68:F68" si="65">ROUND(E67-E60,0)</f>
        <v>0</v>
      </c>
      <c r="F68" s="57">
        <f t="shared" si="65"/>
        <v>0</v>
      </c>
      <c r="G68" s="57">
        <f>ROUND(G67-G60,0)</f>
        <v>0</v>
      </c>
      <c r="H68" s="57">
        <f t="shared" ref="H68:L68" si="66">ROUND(H67-H60,0)</f>
        <v>0</v>
      </c>
      <c r="I68" s="57">
        <f t="shared" si="66"/>
        <v>0</v>
      </c>
      <c r="J68" s="57">
        <f t="shared" si="66"/>
        <v>0</v>
      </c>
      <c r="K68" s="57">
        <f t="shared" si="66"/>
        <v>0</v>
      </c>
      <c r="L68" s="57">
        <f t="shared" si="66"/>
        <v>0</v>
      </c>
      <c r="M68" s="30"/>
      <c r="N68" s="30"/>
      <c r="O68" s="30"/>
      <c r="P68" s="30"/>
      <c r="Q68" s="30"/>
      <c r="R68" s="30"/>
      <c r="S68" s="30"/>
    </row>
    <row r="69" spans="2:19" x14ac:dyDescent="0.3">
      <c r="E69" s="83"/>
      <c r="F69" s="83"/>
      <c r="G69" s="84"/>
      <c r="H69" s="84"/>
      <c r="I69" s="84"/>
      <c r="J69" s="84"/>
      <c r="K69" s="84"/>
      <c r="L69" s="84"/>
      <c r="M69" s="85"/>
      <c r="N69" s="85"/>
      <c r="O69" s="85"/>
      <c r="P69" s="85"/>
      <c r="Q69" s="85"/>
      <c r="R69" s="85"/>
      <c r="S69" s="85"/>
    </row>
    <row r="70" spans="2:19" x14ac:dyDescent="0.3">
      <c r="B70" s="2" t="s">
        <v>45</v>
      </c>
      <c r="C70" s="3"/>
      <c r="D70" s="5"/>
      <c r="E70" s="83"/>
      <c r="F70" s="83"/>
      <c r="G70" s="83"/>
      <c r="H70" s="83"/>
      <c r="I70" s="83"/>
      <c r="J70" s="83"/>
      <c r="K70" s="83"/>
      <c r="L70" s="83"/>
      <c r="M70" s="86"/>
      <c r="N70" s="86"/>
      <c r="O70" s="86"/>
      <c r="P70" s="86"/>
      <c r="Q70" s="87"/>
      <c r="R70" s="87"/>
      <c r="S70" s="87"/>
    </row>
    <row r="71" spans="2:19" x14ac:dyDescent="0.3">
      <c r="D71" s="24"/>
      <c r="E71" s="83"/>
      <c r="F71" s="83"/>
      <c r="G71" s="84"/>
      <c r="H71" s="84"/>
      <c r="I71" s="84"/>
      <c r="J71" s="84"/>
      <c r="K71" s="84"/>
      <c r="L71" s="84"/>
      <c r="M71" s="85"/>
      <c r="N71" s="85"/>
      <c r="O71" s="85"/>
      <c r="P71" s="85"/>
      <c r="Q71" s="85"/>
      <c r="R71" s="85"/>
      <c r="S71" s="85"/>
    </row>
    <row r="72" spans="2:19" x14ac:dyDescent="0.3">
      <c r="B72" s="1" t="s">
        <v>47</v>
      </c>
      <c r="E72" s="56">
        <f>E56</f>
        <v>5</v>
      </c>
      <c r="F72" s="56">
        <f t="shared" ref="F72:L72" si="67">F56</f>
        <v>6.7</v>
      </c>
      <c r="G72" s="56">
        <f t="shared" si="67"/>
        <v>7.9</v>
      </c>
      <c r="H72" s="56">
        <f t="shared" si="67"/>
        <v>5.8</v>
      </c>
      <c r="I72" s="56">
        <f t="shared" si="67"/>
        <v>8.9</v>
      </c>
      <c r="J72" s="56">
        <f t="shared" si="67"/>
        <v>9.1</v>
      </c>
      <c r="K72" s="56">
        <f t="shared" si="67"/>
        <v>10</v>
      </c>
      <c r="L72" s="56">
        <f t="shared" si="67"/>
        <v>16.3</v>
      </c>
      <c r="M72" s="28">
        <f t="shared" ref="M72:S72" si="68">M56</f>
        <v>18.042089846976758</v>
      </c>
      <c r="N72" s="28">
        <f t="shared" si="68"/>
        <v>17.320996056042574</v>
      </c>
      <c r="O72" s="28">
        <f t="shared" si="68"/>
        <v>18.952409270190586</v>
      </c>
      <c r="P72" s="28">
        <f t="shared" si="68"/>
        <v>20.452089050947812</v>
      </c>
      <c r="Q72" s="28">
        <f t="shared" si="68"/>
        <v>21.685621045360438</v>
      </c>
      <c r="R72" s="28">
        <f t="shared" si="68"/>
        <v>22.627337343443909</v>
      </c>
      <c r="S72" s="28">
        <f t="shared" si="68"/>
        <v>23.255220664156433</v>
      </c>
    </row>
    <row r="73" spans="2:19" x14ac:dyDescent="0.3">
      <c r="B73" s="1" t="s">
        <v>159</v>
      </c>
      <c r="E73" s="56">
        <f>INDEX(cf!$B$5:$CO$107,MATCH($B73,cf!$A$5:$A$107,0),MATCH(E$6,cf!$B$3:$CO$3,0))</f>
        <v>-2.2999999999999998</v>
      </c>
      <c r="F73" s="56">
        <f>INDEX(cf!$B$5:$CO$107,MATCH($B73,cf!$A$5:$A$107,0),MATCH(F$6,cf!$B$3:$CO$3,0))</f>
        <v>-2</v>
      </c>
      <c r="G73" s="56">
        <f>INDEX(cf!$B$5:$CO$107,MATCH($B73,cf!$A$5:$A$107,0),MATCH(G$6,cf!$B$3:$CO$3,0))</f>
        <v>1.7</v>
      </c>
      <c r="H73" s="56">
        <f>INDEX(cf!$B$5:$CO$107,MATCH($B73,cf!$A$5:$A$107,0),MATCH(H$6,cf!$B$3:$CO$3,0))</f>
        <v>-8.3000000000000007</v>
      </c>
      <c r="I73" s="56">
        <f>INDEX(cf!$B$5:$CO$107,MATCH($B73,cf!$A$5:$A$107,0),MATCH(I$6,cf!$B$3:$CO$3,0))</f>
        <v>-4.9000000000000004</v>
      </c>
      <c r="J73" s="56">
        <f>INDEX(cf!$B$5:$CO$107,MATCH($B73,cf!$A$5:$A$107,0),MATCH(J$6,cf!$B$3:$CO$3,0))</f>
        <v>6.9</v>
      </c>
      <c r="K73" s="56">
        <f>INDEX(cf!$B$5:$CO$107,MATCH($B73,cf!$A$5:$A$107,0),MATCH(K$6,cf!$B$3:$CO$3,0))</f>
        <v>0.6</v>
      </c>
      <c r="L73" s="56">
        <f>INDEX(cf!$B$5:$CO$107,MATCH($B73,cf!$A$5:$A$107,0),MATCH(L$6,cf!$B$3:$CO$3,0))</f>
        <v>-12.1</v>
      </c>
      <c r="M73" s="28">
        <f>L13-M13+M24-L24</f>
        <v>0.18501648729869657</v>
      </c>
      <c r="N73" s="28">
        <f t="shared" ref="N73:S73" si="69">M13-N13+N24-M24</f>
        <v>-2.7703502061871959</v>
      </c>
      <c r="O73" s="28">
        <f t="shared" si="69"/>
        <v>-2.5876020388535181</v>
      </c>
      <c r="P73" s="28">
        <f t="shared" si="69"/>
        <v>-2.4356207782827148</v>
      </c>
      <c r="Q73" s="28">
        <f t="shared" si="69"/>
        <v>-2.0459214537574617</v>
      </c>
      <c r="R73" s="28">
        <f t="shared" si="69"/>
        <v>-1.5958187339308303</v>
      </c>
      <c r="S73" s="28">
        <f t="shared" si="69"/>
        <v>-1.0957955306325076</v>
      </c>
    </row>
    <row r="74" spans="2:19" x14ac:dyDescent="0.3">
      <c r="B74" s="1" t="s">
        <v>48</v>
      </c>
      <c r="E74" s="56">
        <f>-E55</f>
        <v>0.40000000000000036</v>
      </c>
      <c r="F74" s="56">
        <f t="shared" ref="F74:L74" si="70">-F55</f>
        <v>0.29999999999999982</v>
      </c>
      <c r="G74" s="56">
        <f t="shared" si="70"/>
        <v>0.40000000000000036</v>
      </c>
      <c r="H74" s="56">
        <f t="shared" si="70"/>
        <v>0.5</v>
      </c>
      <c r="I74" s="56">
        <f t="shared" si="70"/>
        <v>1.5</v>
      </c>
      <c r="J74" s="56">
        <f t="shared" si="70"/>
        <v>1.5</v>
      </c>
      <c r="K74" s="56">
        <f t="shared" si="70"/>
        <v>1.6999999999999993</v>
      </c>
      <c r="L74" s="56">
        <f t="shared" si="70"/>
        <v>2.0999999999999979</v>
      </c>
      <c r="M74" s="28">
        <f t="shared" ref="M74:S74" si="71">-M55</f>
        <v>1.92</v>
      </c>
      <c r="N74" s="28">
        <f t="shared" si="71"/>
        <v>1.8364243406568519</v>
      </c>
      <c r="O74" s="28">
        <f t="shared" si="71"/>
        <v>1.8093872944846208</v>
      </c>
      <c r="P74" s="28">
        <f t="shared" si="71"/>
        <v>1.8198516055270517</v>
      </c>
      <c r="Q74" s="28">
        <f t="shared" si="71"/>
        <v>1.8548406482261446</v>
      </c>
      <c r="R74" s="28">
        <f t="shared" si="71"/>
        <v>1.9025707590897976</v>
      </c>
      <c r="S74" s="28">
        <f t="shared" si="71"/>
        <v>1.9541073058542997</v>
      </c>
    </row>
    <row r="75" spans="2:19" x14ac:dyDescent="0.3">
      <c r="B75" s="1" t="s">
        <v>49</v>
      </c>
      <c r="E75" s="56">
        <f>E59</f>
        <v>-0.8</v>
      </c>
      <c r="F75" s="56">
        <f t="shared" ref="F75:L75" si="72">F59</f>
        <v>-1.4</v>
      </c>
      <c r="G75" s="56">
        <f t="shared" si="72"/>
        <v>-1.9</v>
      </c>
      <c r="H75" s="56">
        <f t="shared" si="72"/>
        <v>-1.1000000000000001</v>
      </c>
      <c r="I75" s="56">
        <f t="shared" si="72"/>
        <v>-1.7</v>
      </c>
      <c r="J75" s="56">
        <f t="shared" si="72"/>
        <v>-1.7</v>
      </c>
      <c r="K75" s="56">
        <f t="shared" si="72"/>
        <v>-2.2000000000000002</v>
      </c>
      <c r="L75" s="56">
        <f t="shared" si="72"/>
        <v>-3.1</v>
      </c>
      <c r="M75" s="28">
        <f t="shared" ref="M75:S75" si="73">M59</f>
        <v>-3.1202895119913343</v>
      </c>
      <c r="N75" s="28">
        <f t="shared" si="73"/>
        <v>-3.9821932411953225</v>
      </c>
      <c r="O75" s="28">
        <f t="shared" si="73"/>
        <v>-4.3900465447323249</v>
      </c>
      <c r="P75" s="28">
        <f t="shared" si="73"/>
        <v>-4.7649664899216315</v>
      </c>
      <c r="Q75" s="28">
        <f t="shared" si="73"/>
        <v>-5.073349488524789</v>
      </c>
      <c r="R75" s="28">
        <f t="shared" si="73"/>
        <v>-5.3087785630456565</v>
      </c>
      <c r="S75" s="28">
        <f t="shared" si="73"/>
        <v>-5.4657493932237866</v>
      </c>
    </row>
    <row r="76" spans="2:19" x14ac:dyDescent="0.3">
      <c r="B76" s="1" t="s">
        <v>46</v>
      </c>
      <c r="E76" s="56">
        <f>E77-SUM(E72:E75)</f>
        <v>0.79999999999999938</v>
      </c>
      <c r="F76" s="56">
        <f t="shared" ref="F76:L76" si="74">F77-SUM(F72:F75)</f>
        <v>0.10000000000000009</v>
      </c>
      <c r="G76" s="56">
        <f t="shared" si="74"/>
        <v>1.3000000000000007</v>
      </c>
      <c r="H76" s="56">
        <f t="shared" si="74"/>
        <v>1.0000000000000009</v>
      </c>
      <c r="I76" s="56">
        <f t="shared" si="74"/>
        <v>0.79999999999999982</v>
      </c>
      <c r="J76" s="56">
        <f t="shared" si="74"/>
        <v>0</v>
      </c>
      <c r="K76" s="56">
        <f t="shared" si="74"/>
        <v>-0.89999999999999858</v>
      </c>
      <c r="L76" s="56">
        <f t="shared" si="74"/>
        <v>1.3000000000000012</v>
      </c>
      <c r="M76" s="28">
        <f>M57</f>
        <v>-1.6195134680749974</v>
      </c>
      <c r="N76" s="28">
        <f t="shared" ref="N76:S76" si="75">N57</f>
        <v>-1.3922230912612843</v>
      </c>
      <c r="O76" s="28">
        <f t="shared" si="75"/>
        <v>-1.3922230912612843</v>
      </c>
      <c r="P76" s="28">
        <f t="shared" si="75"/>
        <v>-1.3922230912612843</v>
      </c>
      <c r="Q76" s="28">
        <f t="shared" si="75"/>
        <v>-1.3922230912612843</v>
      </c>
      <c r="R76" s="28">
        <f t="shared" si="75"/>
        <v>-1.3922230912612843</v>
      </c>
      <c r="S76" s="28">
        <f t="shared" si="75"/>
        <v>-1.3922230912612843</v>
      </c>
    </row>
    <row r="77" spans="2:19" ht="15" thickBot="1" x14ac:dyDescent="0.35">
      <c r="B77" s="17" t="s">
        <v>162</v>
      </c>
      <c r="C77" s="17"/>
      <c r="D77" s="17"/>
      <c r="E77" s="81">
        <f>INDEX(cf!$B$5:$CO$107,MATCH($B77,cf!$A$5:$A$107,0),MATCH(E$6,cf!$B$3:$CO$3,0))</f>
        <v>3.1</v>
      </c>
      <c r="F77" s="81">
        <f>INDEX(cf!$B$5:$CO$107,MATCH($B77,cf!$A$5:$A$107,0),MATCH(F$6,cf!$B$3:$CO$3,0))</f>
        <v>3.7</v>
      </c>
      <c r="G77" s="81">
        <f>INDEX(cf!$B$5:$CO$107,MATCH($B77,cf!$A$5:$A$107,0),MATCH(G$6,cf!$B$3:$CO$3,0))</f>
        <v>9.4</v>
      </c>
      <c r="H77" s="81">
        <f>INDEX(cf!$B$5:$CO$107,MATCH($B77,cf!$A$5:$A$107,0),MATCH(H$6,cf!$B$3:$CO$3,0))</f>
        <v>-2.1</v>
      </c>
      <c r="I77" s="81">
        <f>INDEX(cf!$B$5:$CO$107,MATCH($B77,cf!$A$5:$A$107,0),MATCH(I$6,cf!$B$3:$CO$3,0))</f>
        <v>4.5999999999999996</v>
      </c>
      <c r="J77" s="81">
        <f>INDEX(cf!$B$5:$CO$107,MATCH($B77,cf!$A$5:$A$107,0),MATCH(J$6,cf!$B$3:$CO$3,0))</f>
        <v>15.8</v>
      </c>
      <c r="K77" s="81">
        <f>INDEX(cf!$B$5:$CO$107,MATCH($B77,cf!$A$5:$A$107,0),MATCH(K$6,cf!$B$3:$CO$3,0))</f>
        <v>9.1999999999999993</v>
      </c>
      <c r="L77" s="81">
        <f>INDEX(cf!$B$5:$CO$107,MATCH($B77,cf!$A$5:$A$107,0),MATCH(L$6,cf!$B$3:$CO$3,0))</f>
        <v>4.5</v>
      </c>
      <c r="M77" s="82">
        <f t="shared" ref="M77:S77" si="76">SUM(M72:M76)</f>
        <v>15.407303354209125</v>
      </c>
      <c r="N77" s="82">
        <f t="shared" si="76"/>
        <v>11.012653858055623</v>
      </c>
      <c r="O77" s="82">
        <f t="shared" si="76"/>
        <v>12.391924889828081</v>
      </c>
      <c r="P77" s="82">
        <f t="shared" si="76"/>
        <v>13.679130297009234</v>
      </c>
      <c r="Q77" s="82">
        <f t="shared" si="76"/>
        <v>15.028967660043046</v>
      </c>
      <c r="R77" s="82">
        <f t="shared" si="76"/>
        <v>16.233087714295934</v>
      </c>
      <c r="S77" s="82">
        <f t="shared" si="76"/>
        <v>17.255559954893151</v>
      </c>
    </row>
    <row r="78" spans="2:19" ht="15" thickTop="1" x14ac:dyDescent="0.3">
      <c r="B78" s="1" t="s">
        <v>163</v>
      </c>
      <c r="E78" s="56">
        <f>INDEX(cf!$B$5:$CO$107,MATCH($B78,cf!$A$5:$A$107,0),MATCH(E$6,cf!$B$3:$CO$3,0))</f>
        <v>-0.5</v>
      </c>
      <c r="F78" s="56">
        <f>INDEX(cf!$B$5:$CO$107,MATCH($B78,cf!$A$5:$A$107,0),MATCH(F$6,cf!$B$3:$CO$3,0))</f>
        <v>-0.7</v>
      </c>
      <c r="G78" s="56">
        <f>INDEX(cf!$B$5:$CO$107,MATCH($B78,cf!$A$5:$A$107,0),MATCH(G$6,cf!$B$3:$CO$3,0))</f>
        <v>-1.2</v>
      </c>
      <c r="H78" s="56">
        <f>INDEX(cf!$B$5:$CO$107,MATCH($B78,cf!$A$5:$A$107,0),MATCH(H$6,cf!$B$3:$CO$3,0))</f>
        <v>-0.9</v>
      </c>
      <c r="I78" s="56">
        <f>INDEX(cf!$B$5:$CO$107,MATCH($B78,cf!$A$5:$A$107,0),MATCH(I$6,cf!$B$3:$CO$3,0))</f>
        <v>-0.7</v>
      </c>
      <c r="J78" s="56">
        <f>INDEX(cf!$B$5:$CO$107,MATCH($B78,cf!$A$5:$A$107,0),MATCH(J$6,cf!$B$3:$CO$3,0))</f>
        <v>-0.6</v>
      </c>
      <c r="K78" s="56">
        <f>INDEX(cf!$B$5:$CO$107,MATCH($B78,cf!$A$5:$A$107,0),MATCH(K$6,cf!$B$3:$CO$3,0))</f>
        <v>-2.4</v>
      </c>
      <c r="L78" s="56">
        <f>INDEX(cf!$B$5:$CO$107,MATCH($B78,cf!$A$5:$A$107,0),MATCH(L$6,cf!$B$3:$CO$3,0))</f>
        <v>-1.8</v>
      </c>
      <c r="M78" s="28">
        <f>-summary!M36</f>
        <v>-1.6414144688561723</v>
      </c>
      <c r="N78" s="28">
        <f>-summary!N36</f>
        <v>-1.746300853416082</v>
      </c>
      <c r="O78" s="28">
        <f>-summary!O36</f>
        <v>-1.8442683312927242</v>
      </c>
      <c r="P78" s="28">
        <f>-summary!P36</f>
        <v>-1.9364817478573606</v>
      </c>
      <c r="Q78" s="28">
        <f>-summary!Q36</f>
        <v>-2.0139410177716552</v>
      </c>
      <c r="R78" s="28">
        <f>-summary!R36</f>
        <v>-2.074359248304805</v>
      </c>
      <c r="S78" s="28">
        <f>-summary!S36</f>
        <v>-2.1158464332709008</v>
      </c>
    </row>
    <row r="79" spans="2:19" x14ac:dyDescent="0.3">
      <c r="B79" s="1" t="s">
        <v>164</v>
      </c>
      <c r="E79" s="56">
        <f>INDEX(cf!$B$5:$CO$107,MATCH($B79,cf!$A$5:$A$107,0),MATCH(E$6,cf!$B$3:$CO$3,0))</f>
        <v>0</v>
      </c>
      <c r="F79" s="56">
        <f>INDEX(cf!$B$5:$CO$107,MATCH($B79,cf!$A$5:$A$107,0),MATCH(F$6,cf!$B$3:$CO$3,0))</f>
        <v>0</v>
      </c>
      <c r="G79" s="56">
        <f>INDEX(cf!$B$5:$CO$107,MATCH($B79,cf!$A$5:$A$107,0),MATCH(G$6,cf!$B$3:$CO$3,0))</f>
        <v>0</v>
      </c>
      <c r="H79" s="56">
        <f>INDEX(cf!$B$5:$CO$107,MATCH($B79,cf!$A$5:$A$107,0),MATCH(H$6,cf!$B$3:$CO$3,0))</f>
        <v>0</v>
      </c>
      <c r="I79" s="56">
        <f>INDEX(cf!$B$5:$CO$107,MATCH($B79,cf!$A$5:$A$107,0),MATCH(I$6,cf!$B$3:$CO$3,0))</f>
        <v>0</v>
      </c>
      <c r="J79" s="56">
        <f>INDEX(cf!$B$5:$CO$107,MATCH($B79,cf!$A$5:$A$107,0),MATCH(J$6,cf!$B$3:$CO$3,0))</f>
        <v>0</v>
      </c>
      <c r="K79" s="56">
        <f>INDEX(cf!$B$5:$CO$107,MATCH($B79,cf!$A$5:$A$107,0),MATCH(K$6,cf!$B$3:$CO$3,0))</f>
        <v>0</v>
      </c>
      <c r="L79" s="56">
        <f>INDEX(cf!$B$5:$CO$107,MATCH($B79,cf!$A$5:$A$107,0),MATCH(L$6,cf!$B$3:$CO$3,0))</f>
        <v>0</v>
      </c>
      <c r="M79" s="28"/>
      <c r="N79" s="28"/>
      <c r="O79" s="28"/>
      <c r="P79" s="28"/>
      <c r="Q79" s="28"/>
      <c r="R79" s="28"/>
      <c r="S79" s="28"/>
    </row>
    <row r="80" spans="2:19" x14ac:dyDescent="0.3">
      <c r="B80" s="1" t="s">
        <v>50</v>
      </c>
      <c r="E80" s="56">
        <f>INDEX(cf!$B$5:$CO$107,MATCH($B80,cf!$A$5:$A$107,0),MATCH(E$6,cf!$B$3:$CO$3,0))</f>
        <v>0</v>
      </c>
      <c r="F80" s="56">
        <f>INDEX(cf!$B$5:$CO$107,MATCH($B80,cf!$A$5:$A$107,0),MATCH(F$6,cf!$B$3:$CO$3,0))</f>
        <v>0</v>
      </c>
      <c r="G80" s="56">
        <f>INDEX(cf!$B$5:$CO$107,MATCH($B80,cf!$A$5:$A$107,0),MATCH(G$6,cf!$B$3:$CO$3,0))</f>
        <v>0</v>
      </c>
      <c r="H80" s="56">
        <f>INDEX(cf!$B$5:$CO$107,MATCH($B80,cf!$A$5:$A$107,0),MATCH(H$6,cf!$B$3:$CO$3,0))</f>
        <v>0</v>
      </c>
      <c r="I80" s="56">
        <f>INDEX(cf!$B$5:$CO$107,MATCH($B80,cf!$A$5:$A$107,0),MATCH(I$6,cf!$B$3:$CO$3,0))</f>
        <v>0</v>
      </c>
      <c r="J80" s="56">
        <f>INDEX(cf!$B$5:$CO$107,MATCH($B80,cf!$A$5:$A$107,0),MATCH(J$6,cf!$B$3:$CO$3,0))</f>
        <v>0</v>
      </c>
      <c r="K80" s="56">
        <f>INDEX(cf!$B$5:$CO$107,MATCH($B80,cf!$A$5:$A$107,0),MATCH(K$6,cf!$B$3:$CO$3,0))</f>
        <v>-30.6</v>
      </c>
      <c r="L80" s="56">
        <f>INDEX(cf!$B$5:$CO$107,MATCH($B80,cf!$A$5:$A$107,0),MATCH(L$6,cf!$B$3:$CO$3,0))</f>
        <v>-2</v>
      </c>
      <c r="M80" s="28"/>
      <c r="N80" s="28"/>
      <c r="O80" s="28"/>
      <c r="P80" s="28"/>
      <c r="Q80" s="28"/>
      <c r="R80" s="28"/>
      <c r="S80" s="28"/>
    </row>
    <row r="81" spans="2:19" x14ac:dyDescent="0.3">
      <c r="B81" s="1" t="s">
        <v>168</v>
      </c>
      <c r="E81" s="56">
        <f>INDEX(cf!$B$5:$CO$107,MATCH($B81,cf!$A$5:$A$107,0),MATCH(E$6,cf!$B$3:$CO$3,0))</f>
        <v>0</v>
      </c>
      <c r="F81" s="56">
        <f>INDEX(cf!$B$5:$CO$107,MATCH($B81,cf!$A$5:$A$107,0),MATCH(F$6,cf!$B$3:$CO$3,0))</f>
        <v>0</v>
      </c>
      <c r="G81" s="56">
        <f>INDEX(cf!$B$5:$CO$107,MATCH($B81,cf!$A$5:$A$107,0),MATCH(G$6,cf!$B$3:$CO$3,0))</f>
        <v>0</v>
      </c>
      <c r="H81" s="56">
        <f>INDEX(cf!$B$5:$CO$107,MATCH($B81,cf!$A$5:$A$107,0),MATCH(H$6,cf!$B$3:$CO$3,0))</f>
        <v>0</v>
      </c>
      <c r="I81" s="56">
        <f>INDEX(cf!$B$5:$CO$107,MATCH($B81,cf!$A$5:$A$107,0),MATCH(I$6,cf!$B$3:$CO$3,0))</f>
        <v>0</v>
      </c>
      <c r="J81" s="56">
        <f>INDEX(cf!$B$5:$CO$107,MATCH($B81,cf!$A$5:$A$107,0),MATCH(J$6,cf!$B$3:$CO$3,0))</f>
        <v>0</v>
      </c>
      <c r="K81" s="56">
        <f>INDEX(cf!$B$5:$CO$107,MATCH($B81,cf!$A$5:$A$107,0),MATCH(K$6,cf!$B$3:$CO$3,0))</f>
        <v>0</v>
      </c>
      <c r="L81" s="56">
        <f>INDEX(cf!$B$5:$CO$107,MATCH($B81,cf!$A$5:$A$107,0),MATCH(L$6,cf!$B$3:$CO$3,0))</f>
        <v>0</v>
      </c>
      <c r="M81" s="28"/>
      <c r="N81" s="28"/>
      <c r="O81" s="28"/>
      <c r="P81" s="28"/>
      <c r="Q81" s="28"/>
      <c r="R81" s="28"/>
      <c r="S81" s="28"/>
    </row>
    <row r="82" spans="2:19" x14ac:dyDescent="0.3">
      <c r="B82" s="1" t="s">
        <v>169</v>
      </c>
      <c r="E82" s="56">
        <f>INDEX(cf!$B$5:$CO$107,MATCH($B82,cf!$A$5:$A$107,0),MATCH(E$6,cf!$B$3:$CO$3,0))</f>
        <v>0</v>
      </c>
      <c r="F82" s="56">
        <f>INDEX(cf!$B$5:$CO$107,MATCH($B82,cf!$A$5:$A$107,0),MATCH(F$6,cf!$B$3:$CO$3,0))</f>
        <v>0</v>
      </c>
      <c r="G82" s="56">
        <f>INDEX(cf!$B$5:$CO$107,MATCH($B82,cf!$A$5:$A$107,0),MATCH(G$6,cf!$B$3:$CO$3,0))</f>
        <v>0</v>
      </c>
      <c r="H82" s="56">
        <f>INDEX(cf!$B$5:$CO$107,MATCH($B82,cf!$A$5:$A$107,0),MATCH(H$6,cf!$B$3:$CO$3,0))</f>
        <v>0</v>
      </c>
      <c r="I82" s="56">
        <f>INDEX(cf!$B$5:$CO$107,MATCH($B82,cf!$A$5:$A$107,0),MATCH(I$6,cf!$B$3:$CO$3,0))</f>
        <v>0</v>
      </c>
      <c r="J82" s="56">
        <f>INDEX(cf!$B$5:$CO$107,MATCH($B82,cf!$A$5:$A$107,0),MATCH(J$6,cf!$B$3:$CO$3,0))</f>
        <v>0</v>
      </c>
      <c r="K82" s="56">
        <f>INDEX(cf!$B$5:$CO$107,MATCH($B82,cf!$A$5:$A$107,0),MATCH(K$6,cf!$B$3:$CO$3,0))</f>
        <v>0</v>
      </c>
      <c r="L82" s="56">
        <f>INDEX(cf!$B$5:$CO$107,MATCH($B82,cf!$A$5:$A$107,0),MATCH(L$6,cf!$B$3:$CO$3,0))</f>
        <v>0</v>
      </c>
      <c r="M82" s="28"/>
      <c r="N82" s="28"/>
      <c r="O82" s="28"/>
      <c r="P82" s="28"/>
      <c r="Q82" s="28"/>
      <c r="R82" s="28"/>
      <c r="S82" s="28"/>
    </row>
    <row r="83" spans="2:19" x14ac:dyDescent="0.3">
      <c r="B83" s="1" t="s">
        <v>46</v>
      </c>
      <c r="E83" s="56">
        <f>E84-SUM(E78:E82)</f>
        <v>9.9999999999999978E-2</v>
      </c>
      <c r="F83" s="56">
        <f t="shared" ref="F83:L83" si="77">F84-SUM(F78:F82)</f>
        <v>0</v>
      </c>
      <c r="G83" s="56">
        <f t="shared" si="77"/>
        <v>9.9999999999999867E-2</v>
      </c>
      <c r="H83" s="56">
        <f t="shared" si="77"/>
        <v>0</v>
      </c>
      <c r="I83" s="56">
        <f t="shared" si="77"/>
        <v>0</v>
      </c>
      <c r="J83" s="56">
        <f t="shared" si="77"/>
        <v>0</v>
      </c>
      <c r="K83" s="56">
        <f t="shared" si="77"/>
        <v>0.10000000000000142</v>
      </c>
      <c r="L83" s="56">
        <f t="shared" si="77"/>
        <v>0</v>
      </c>
      <c r="M83" s="28"/>
      <c r="N83" s="28"/>
      <c r="O83" s="28"/>
      <c r="P83" s="28"/>
      <c r="Q83" s="28"/>
      <c r="R83" s="28"/>
      <c r="S83" s="28"/>
    </row>
    <row r="84" spans="2:19" ht="15" thickBot="1" x14ac:dyDescent="0.35">
      <c r="B84" s="17" t="s">
        <v>171</v>
      </c>
      <c r="C84" s="17"/>
      <c r="D84" s="17"/>
      <c r="E84" s="81">
        <f>INDEX(cf!$B$5:$CO$107,MATCH($B84,cf!$A$5:$A$107,0),MATCH(E$6,cf!$B$3:$CO$3,0))</f>
        <v>-0.4</v>
      </c>
      <c r="F84" s="81">
        <f>INDEX(cf!$B$5:$CO$107,MATCH($B84,cf!$A$5:$A$107,0),MATCH(F$6,cf!$B$3:$CO$3,0))</f>
        <v>-0.7</v>
      </c>
      <c r="G84" s="81">
        <f>INDEX(cf!$B$5:$CO$107,MATCH($B84,cf!$A$5:$A$107,0),MATCH(G$6,cf!$B$3:$CO$3,0))</f>
        <v>-1.1000000000000001</v>
      </c>
      <c r="H84" s="81">
        <f>INDEX(cf!$B$5:$CO$107,MATCH($B84,cf!$A$5:$A$107,0),MATCH(H$6,cf!$B$3:$CO$3,0))</f>
        <v>-0.9</v>
      </c>
      <c r="I84" s="81">
        <f>INDEX(cf!$B$5:$CO$107,MATCH($B84,cf!$A$5:$A$107,0),MATCH(I$6,cf!$B$3:$CO$3,0))</f>
        <v>-0.7</v>
      </c>
      <c r="J84" s="81">
        <f>INDEX(cf!$B$5:$CO$107,MATCH($B84,cf!$A$5:$A$107,0),MATCH(J$6,cf!$B$3:$CO$3,0))</f>
        <v>-0.6</v>
      </c>
      <c r="K84" s="81">
        <f>INDEX(cf!$B$5:$CO$107,MATCH($B84,cf!$A$5:$A$107,0),MATCH(K$6,cf!$B$3:$CO$3,0))</f>
        <v>-32.9</v>
      </c>
      <c r="L84" s="81">
        <f>INDEX(cf!$B$5:$CO$107,MATCH($B84,cf!$A$5:$A$107,0),MATCH(L$6,cf!$B$3:$CO$3,0))</f>
        <v>-3.8</v>
      </c>
      <c r="M84" s="82">
        <f t="shared" ref="M84:Q84" si="78">SUM(M78:M83)</f>
        <v>-1.6414144688561723</v>
      </c>
      <c r="N84" s="82">
        <f t="shared" ref="N84" si="79">SUM(N78:N83)</f>
        <v>-1.746300853416082</v>
      </c>
      <c r="O84" s="82">
        <f t="shared" si="78"/>
        <v>-1.8442683312927242</v>
      </c>
      <c r="P84" s="82">
        <f t="shared" si="78"/>
        <v>-1.9364817478573606</v>
      </c>
      <c r="Q84" s="82">
        <f t="shared" si="78"/>
        <v>-2.0139410177716552</v>
      </c>
      <c r="R84" s="82">
        <f t="shared" ref="R84:S84" si="80">SUM(R78:R83)</f>
        <v>-2.074359248304805</v>
      </c>
      <c r="S84" s="82">
        <f t="shared" si="80"/>
        <v>-2.1158464332709008</v>
      </c>
    </row>
    <row r="85" spans="2:19" ht="15" thickTop="1" x14ac:dyDescent="0.3">
      <c r="B85" s="1" t="s">
        <v>172</v>
      </c>
      <c r="E85" s="56">
        <f>INDEX(cf!$B$5:$CO$107,MATCH($B85,cf!$A$5:$A$107,0),MATCH(E$6,cf!$B$3:$CO$3,0))</f>
        <v>0</v>
      </c>
      <c r="F85" s="56">
        <f>INDEX(cf!$B$5:$CO$107,MATCH($B85,cf!$A$5:$A$107,0),MATCH(F$6,cf!$B$3:$CO$3,0))</f>
        <v>0</v>
      </c>
      <c r="G85" s="56">
        <f>INDEX(cf!$B$5:$CO$107,MATCH($B85,cf!$A$5:$A$107,0),MATCH(G$6,cf!$B$3:$CO$3,0))</f>
        <v>0</v>
      </c>
      <c r="H85" s="56">
        <f>INDEX(cf!$B$5:$CO$107,MATCH($B85,cf!$A$5:$A$107,0),MATCH(H$6,cf!$B$3:$CO$3,0))</f>
        <v>0</v>
      </c>
      <c r="I85" s="56">
        <f>INDEX(cf!$B$5:$CO$107,MATCH($B85,cf!$A$5:$A$107,0),MATCH(I$6,cf!$B$3:$CO$3,0))</f>
        <v>0</v>
      </c>
      <c r="J85" s="56">
        <f>INDEX(cf!$B$5:$CO$107,MATCH($B85,cf!$A$5:$A$107,0),MATCH(J$6,cf!$B$3:$CO$3,0))</f>
        <v>0</v>
      </c>
      <c r="K85" s="56">
        <f>INDEX(cf!$B$5:$CO$107,MATCH($B85,cf!$A$5:$A$107,0),MATCH(K$6,cf!$B$3:$CO$3,0))</f>
        <v>14.4</v>
      </c>
      <c r="L85" s="56">
        <f>INDEX(cf!$B$5:$CO$107,MATCH($B85,cf!$A$5:$A$107,0),MATCH(L$6,cf!$B$3:$CO$3,0))</f>
        <v>0.4</v>
      </c>
      <c r="M85" s="28"/>
      <c r="N85" s="28"/>
      <c r="O85" s="28"/>
      <c r="P85" s="28"/>
      <c r="Q85" s="28"/>
      <c r="R85" s="28"/>
      <c r="S85" s="28"/>
    </row>
    <row r="86" spans="2:19" x14ac:dyDescent="0.3">
      <c r="B86" s="1" t="s">
        <v>52</v>
      </c>
      <c r="E86" s="56">
        <f>INDEX(cf!$B$5:$CO$107,MATCH($B86,cf!$A$5:$A$107,0),MATCH(E$6,cf!$B$3:$CO$3,0))</f>
        <v>0</v>
      </c>
      <c r="F86" s="56">
        <f>INDEX(cf!$B$5:$CO$107,MATCH($B86,cf!$A$5:$A$107,0),MATCH(F$6,cf!$B$3:$CO$3,0))</f>
        <v>0</v>
      </c>
      <c r="G86" s="56">
        <f>INDEX(cf!$B$5:$CO$107,MATCH($B86,cf!$A$5:$A$107,0),MATCH(G$6,cf!$B$3:$CO$3,0))</f>
        <v>0</v>
      </c>
      <c r="H86" s="56">
        <f>INDEX(cf!$B$5:$CO$107,MATCH($B86,cf!$A$5:$A$107,0),MATCH(H$6,cf!$B$3:$CO$3,0))</f>
        <v>0</v>
      </c>
      <c r="I86" s="56">
        <f>INDEX(cf!$B$5:$CO$107,MATCH($B86,cf!$A$5:$A$107,0),MATCH(I$6,cf!$B$3:$CO$3,0))</f>
        <v>-1.6</v>
      </c>
      <c r="J86" s="56">
        <f>INDEX(cf!$B$5:$CO$107,MATCH($B86,cf!$A$5:$A$107,0),MATCH(J$6,cf!$B$3:$CO$3,0))</f>
        <v>-0.5</v>
      </c>
      <c r="K86" s="56">
        <f>INDEX(cf!$B$5:$CO$107,MATCH($B86,cf!$A$5:$A$107,0),MATCH(K$6,cf!$B$3:$CO$3,0))</f>
        <v>0</v>
      </c>
      <c r="L86" s="56">
        <f>INDEX(cf!$B$5:$CO$107,MATCH($B86,cf!$A$5:$A$107,0),MATCH(L$6,cf!$B$3:$CO$3,0))</f>
        <v>0</v>
      </c>
      <c r="M86" s="28"/>
      <c r="N86" s="28"/>
      <c r="O86" s="28"/>
      <c r="P86" s="28"/>
      <c r="Q86" s="28"/>
      <c r="R86" s="28"/>
      <c r="S86" s="28"/>
    </row>
    <row r="87" spans="2:19" x14ac:dyDescent="0.3">
      <c r="B87" s="1" t="s">
        <v>173</v>
      </c>
      <c r="E87" s="56">
        <f>INDEX(cf!$B$5:$CO$107,MATCH($B87,cf!$A$5:$A$107,0),MATCH(E$6,cf!$B$3:$CO$3,0))</f>
        <v>2.9</v>
      </c>
      <c r="F87" s="56">
        <f>INDEX(cf!$B$5:$CO$107,MATCH($B87,cf!$A$5:$A$107,0),MATCH(F$6,cf!$B$3:$CO$3,0))</f>
        <v>8.9</v>
      </c>
      <c r="G87" s="56">
        <f>INDEX(cf!$B$5:$CO$107,MATCH($B87,cf!$A$5:$A$107,0),MATCH(G$6,cf!$B$3:$CO$3,0))</f>
        <v>0</v>
      </c>
      <c r="H87" s="56">
        <f>INDEX(cf!$B$5:$CO$107,MATCH($B87,cf!$A$5:$A$107,0),MATCH(H$6,cf!$B$3:$CO$3,0))</f>
        <v>9.1</v>
      </c>
      <c r="I87" s="56">
        <f>INDEX(cf!$B$5:$CO$107,MATCH($B87,cf!$A$5:$A$107,0),MATCH(I$6,cf!$B$3:$CO$3,0))</f>
        <v>2.1</v>
      </c>
      <c r="J87" s="56">
        <f>INDEX(cf!$B$5:$CO$107,MATCH($B87,cf!$A$5:$A$107,0),MATCH(J$6,cf!$B$3:$CO$3,0))</f>
        <v>0</v>
      </c>
      <c r="K87" s="56">
        <f>INDEX(cf!$B$5:$CO$107,MATCH($B87,cf!$A$5:$A$107,0),MATCH(K$6,cf!$B$3:$CO$3,0))</f>
        <v>16</v>
      </c>
      <c r="L87" s="56">
        <f>INDEX(cf!$B$5:$CO$107,MATCH($B87,cf!$A$5:$A$107,0),MATCH(L$6,cf!$B$3:$CO$3,0))</f>
        <v>14.3</v>
      </c>
      <c r="M87" s="28"/>
      <c r="N87" s="28"/>
      <c r="O87" s="28"/>
      <c r="P87" s="28"/>
      <c r="Q87" s="28"/>
      <c r="R87" s="28"/>
      <c r="S87" s="28"/>
    </row>
    <row r="88" spans="2:19" x14ac:dyDescent="0.3">
      <c r="B88" s="1" t="s">
        <v>174</v>
      </c>
      <c r="E88" s="56">
        <f>INDEX(cf!$B$5:$CO$107,MATCH($B88,cf!$A$5:$A$107,0),MATCH(E$6,cf!$B$3:$CO$3,0))</f>
        <v>-5</v>
      </c>
      <c r="F88" s="56">
        <f>INDEX(cf!$B$5:$CO$107,MATCH($B88,cf!$A$5:$A$107,0),MATCH(F$6,cf!$B$3:$CO$3,0))</f>
        <v>-9.4</v>
      </c>
      <c r="G88" s="56">
        <f>INDEX(cf!$B$5:$CO$107,MATCH($B88,cf!$A$5:$A$107,0),MATCH(G$6,cf!$B$3:$CO$3,0))</f>
        <v>-4.0999999999999996</v>
      </c>
      <c r="H88" s="56">
        <f>INDEX(cf!$B$5:$CO$107,MATCH($B88,cf!$A$5:$A$107,0),MATCH(H$6,cf!$B$3:$CO$3,0))</f>
        <v>-2.2000000000000002</v>
      </c>
      <c r="I88" s="56">
        <f>INDEX(cf!$B$5:$CO$107,MATCH($B88,cf!$A$5:$A$107,0),MATCH(I$6,cf!$B$3:$CO$3,0))</f>
        <v>-0.5</v>
      </c>
      <c r="J88" s="56">
        <f>INDEX(cf!$B$5:$CO$107,MATCH($B88,cf!$A$5:$A$107,0),MATCH(J$6,cf!$B$3:$CO$3,0))</f>
        <v>-10.4</v>
      </c>
      <c r="K88" s="56">
        <f>INDEX(cf!$B$5:$CO$107,MATCH($B88,cf!$A$5:$A$107,0),MATCH(K$6,cf!$B$3:$CO$3,0))</f>
        <v>-1.1000000000000001</v>
      </c>
      <c r="L88" s="56">
        <f>INDEX(cf!$B$5:$CO$107,MATCH($B88,cf!$A$5:$A$107,0),MATCH(L$6,cf!$B$3:$CO$3,0))</f>
        <v>-2.8</v>
      </c>
      <c r="M88" s="28">
        <f>M28-L28-L26</f>
        <v>-8.1720000000000024</v>
      </c>
      <c r="N88" s="28">
        <f t="shared" ref="N88:S88" si="81">N28-M28-M26</f>
        <v>0</v>
      </c>
      <c r="O88" s="28">
        <f t="shared" si="81"/>
        <v>0</v>
      </c>
      <c r="P88" s="28">
        <f t="shared" si="81"/>
        <v>0</v>
      </c>
      <c r="Q88" s="28">
        <f t="shared" si="81"/>
        <v>0</v>
      </c>
      <c r="R88" s="28">
        <f t="shared" si="81"/>
        <v>0</v>
      </c>
      <c r="S88" s="28">
        <f t="shared" si="81"/>
        <v>0</v>
      </c>
    </row>
    <row r="89" spans="2:19" x14ac:dyDescent="0.3">
      <c r="B89" s="1" t="s">
        <v>177</v>
      </c>
      <c r="E89" s="56">
        <f>INDEX(cf!$B$5:$CO$107,MATCH($B89,cf!$A$5:$A$107,0),MATCH(E$6,cf!$B$3:$CO$3,0))</f>
        <v>0</v>
      </c>
      <c r="F89" s="56">
        <f>INDEX(cf!$B$5:$CO$107,MATCH($B89,cf!$A$5:$A$107,0),MATCH(F$6,cf!$B$3:$CO$3,0))</f>
        <v>0</v>
      </c>
      <c r="G89" s="56">
        <f>INDEX(cf!$B$5:$CO$107,MATCH($B89,cf!$A$5:$A$107,0),MATCH(G$6,cf!$B$3:$CO$3,0))</f>
        <v>-3.8</v>
      </c>
      <c r="H89" s="56">
        <f>INDEX(cf!$B$5:$CO$107,MATCH($B89,cf!$A$5:$A$107,0),MATCH(H$6,cf!$B$3:$CO$3,0))</f>
        <v>-3.6</v>
      </c>
      <c r="I89" s="56">
        <f>INDEX(cf!$B$5:$CO$107,MATCH($B89,cf!$A$5:$A$107,0),MATCH(I$6,cf!$B$3:$CO$3,0))</f>
        <v>-2.4</v>
      </c>
      <c r="J89" s="56">
        <f>INDEX(cf!$B$5:$CO$107,MATCH($B89,cf!$A$5:$A$107,0),MATCH(J$6,cf!$B$3:$CO$3,0))</f>
        <v>-2.2999999999999998</v>
      </c>
      <c r="K89" s="56">
        <f>INDEX(cf!$B$5:$CO$107,MATCH($B89,cf!$A$5:$A$107,0),MATCH(K$6,cf!$B$3:$CO$3,0))</f>
        <v>-4.4000000000000004</v>
      </c>
      <c r="L89" s="56">
        <f>INDEX(cf!$B$5:$CO$107,MATCH($B89,cf!$A$5:$A$107,0),MATCH(L$6,cf!$B$3:$CO$3,0))</f>
        <v>-4.8</v>
      </c>
      <c r="M89" s="28">
        <f>M60*-summary!M35</f>
        <v>-6.6511434334552124</v>
      </c>
      <c r="N89" s="28">
        <f>N60*-summary!N35</f>
        <v>-5.9732898617929839</v>
      </c>
      <c r="O89" s="28">
        <f>O60*-summary!O35</f>
        <v>-6.5850698170984874</v>
      </c>
      <c r="P89" s="28">
        <f>P60*-summary!P35</f>
        <v>-7.1474497348824473</v>
      </c>
      <c r="Q89" s="28">
        <f>Q60*-summary!Q35</f>
        <v>-7.6100242327871834</v>
      </c>
      <c r="R89" s="28">
        <f>R60*-summary!R35</f>
        <v>-7.9631678445684848</v>
      </c>
      <c r="S89" s="28">
        <f>S60*-summary!S35</f>
        <v>-8.198624089835679</v>
      </c>
    </row>
    <row r="90" spans="2:19" x14ac:dyDescent="0.3">
      <c r="B90" s="1" t="s">
        <v>46</v>
      </c>
      <c r="E90" s="56">
        <f>E91-SUM(E85:E89)</f>
        <v>-0.60000000000000009</v>
      </c>
      <c r="F90" s="56">
        <f t="shared" ref="F90" si="82">F91-SUM(F85:F89)</f>
        <v>-2.4</v>
      </c>
      <c r="G90" s="56">
        <f t="shared" ref="G90" si="83">G91-SUM(G85:G89)</f>
        <v>-0.40000000000000124</v>
      </c>
      <c r="H90" s="56">
        <f t="shared" ref="H90" si="84">H91-SUM(H85:H89)</f>
        <v>-0.39999999999999947</v>
      </c>
      <c r="I90" s="56">
        <f t="shared" ref="I90" si="85">I91-SUM(I85:I89)</f>
        <v>-1.5</v>
      </c>
      <c r="J90" s="56">
        <f t="shared" ref="J90" si="86">J91-SUM(J85:J89)</f>
        <v>-1.8000000000000007</v>
      </c>
      <c r="K90" s="56">
        <f t="shared" ref="K90" si="87">K91-SUM(K85:K89)</f>
        <v>-1.2999999999999972</v>
      </c>
      <c r="L90" s="56">
        <f t="shared" ref="L90" si="88">L91-SUM(L85:L89)</f>
        <v>-1.8000000000000025</v>
      </c>
      <c r="M90" s="28"/>
      <c r="N90" s="28"/>
      <c r="O90" s="28"/>
      <c r="P90" s="28"/>
      <c r="Q90" s="28"/>
      <c r="R90" s="28"/>
      <c r="S90" s="28"/>
    </row>
    <row r="91" spans="2:19" ht="15" thickBot="1" x14ac:dyDescent="0.35">
      <c r="B91" s="17" t="s">
        <v>179</v>
      </c>
      <c r="C91" s="17"/>
      <c r="D91" s="17"/>
      <c r="E91" s="81">
        <f>INDEX(cf!$B$5:$CO$107,MATCH($B91,cf!$A$5:$A$107,0),MATCH(E$6,cf!$B$3:$CO$3,0))</f>
        <v>-2.7</v>
      </c>
      <c r="F91" s="81">
        <f>INDEX(cf!$B$5:$CO$107,MATCH($B91,cf!$A$5:$A$107,0),MATCH(F$6,cf!$B$3:$CO$3,0))</f>
        <v>-2.9</v>
      </c>
      <c r="G91" s="81">
        <f>INDEX(cf!$B$5:$CO$107,MATCH($B91,cf!$A$5:$A$107,0),MATCH(G$6,cf!$B$3:$CO$3,0))</f>
        <v>-8.3000000000000007</v>
      </c>
      <c r="H91" s="81">
        <f>INDEX(cf!$B$5:$CO$107,MATCH($B91,cf!$A$5:$A$107,0),MATCH(H$6,cf!$B$3:$CO$3,0))</f>
        <v>2.9</v>
      </c>
      <c r="I91" s="81">
        <f>INDEX(cf!$B$5:$CO$107,MATCH($B91,cf!$A$5:$A$107,0),MATCH(I$6,cf!$B$3:$CO$3,0))</f>
        <v>-3.9</v>
      </c>
      <c r="J91" s="81">
        <f>INDEX(cf!$B$5:$CO$107,MATCH($B91,cf!$A$5:$A$107,0),MATCH(J$6,cf!$B$3:$CO$3,0))</f>
        <v>-15</v>
      </c>
      <c r="K91" s="81">
        <f>INDEX(cf!$B$5:$CO$107,MATCH($B91,cf!$A$5:$A$107,0),MATCH(K$6,cf!$B$3:$CO$3,0))</f>
        <v>23.6</v>
      </c>
      <c r="L91" s="81">
        <f>INDEX(cf!$B$5:$CO$107,MATCH($B91,cf!$A$5:$A$107,0),MATCH(L$6,cf!$B$3:$CO$3,0))</f>
        <v>5.3</v>
      </c>
      <c r="M91" s="82">
        <f t="shared" ref="M91:S91" si="89">SUM(M85:M90)</f>
        <v>-14.823143433455215</v>
      </c>
      <c r="N91" s="82">
        <f t="shared" si="89"/>
        <v>-5.9732898617929839</v>
      </c>
      <c r="O91" s="82">
        <f t="shared" si="89"/>
        <v>-6.5850698170984874</v>
      </c>
      <c r="P91" s="82">
        <f t="shared" si="89"/>
        <v>-7.1474497348824473</v>
      </c>
      <c r="Q91" s="82">
        <f t="shared" si="89"/>
        <v>-7.6100242327871834</v>
      </c>
      <c r="R91" s="82">
        <f t="shared" si="89"/>
        <v>-7.9631678445684848</v>
      </c>
      <c r="S91" s="82">
        <f t="shared" si="89"/>
        <v>-8.198624089835679</v>
      </c>
    </row>
    <row r="92" spans="2:19" ht="15" thickTop="1" x14ac:dyDescent="0.3">
      <c r="E92" s="56"/>
      <c r="F92" s="56"/>
      <c r="G92" s="56"/>
      <c r="H92" s="56"/>
      <c r="I92" s="56"/>
      <c r="J92" s="56"/>
      <c r="K92" s="56"/>
      <c r="L92" s="56"/>
      <c r="M92" s="28"/>
      <c r="N92" s="28"/>
      <c r="O92" s="28"/>
      <c r="P92" s="28"/>
      <c r="Q92" s="28"/>
      <c r="R92" s="28"/>
      <c r="S92" s="28"/>
    </row>
    <row r="93" spans="2:19" ht="15" thickBot="1" x14ac:dyDescent="0.35">
      <c r="B93" s="17" t="s">
        <v>182</v>
      </c>
      <c r="C93" s="17"/>
      <c r="D93" s="17"/>
      <c r="E93" s="81">
        <f>INDEX(cf!$B$5:$CO$107,MATCH($B93,cf!$A$5:$A$107,0),MATCH(E$6,cf!$B$3:$CO$3,0))</f>
        <v>0.1</v>
      </c>
      <c r="F93" s="81">
        <f>INDEX(cf!$B$5:$CO$107,MATCH($B93,cf!$A$5:$A$107,0),MATCH(F$6,cf!$B$3:$CO$3,0))</f>
        <v>0.1</v>
      </c>
      <c r="G93" s="81">
        <f>INDEX(cf!$B$5:$CO$107,MATCH($B93,cf!$A$5:$A$107,0),MATCH(G$6,cf!$B$3:$CO$3,0))</f>
        <v>0.1</v>
      </c>
      <c r="H93" s="81">
        <f>INDEX(cf!$B$5:$CO$107,MATCH($B93,cf!$A$5:$A$107,0),MATCH(H$6,cf!$B$3:$CO$3,0))</f>
        <v>0.1</v>
      </c>
      <c r="I93" s="81">
        <f>INDEX(cf!$B$5:$CO$107,MATCH($B93,cf!$A$5:$A$107,0),MATCH(I$6,cf!$B$3:$CO$3,0))</f>
        <v>0.1</v>
      </c>
      <c r="J93" s="81">
        <f>INDEX(cf!$B$5:$CO$107,MATCH($B93,cf!$A$5:$A$107,0),MATCH(J$6,cf!$B$3:$CO$3,0))</f>
        <v>0.1</v>
      </c>
      <c r="K93" s="81">
        <f>INDEX(cf!$B$5:$CO$107,MATCH($B93,cf!$A$5:$A$107,0),MATCH(K$6,cf!$B$3:$CO$3,0))</f>
        <v>0.3</v>
      </c>
      <c r="L93" s="81">
        <f>INDEX(cf!$B$5:$CO$107,MATCH($B93,cf!$A$5:$A$107,0),MATCH(L$6,cf!$B$3:$CO$3,0))</f>
        <v>0.1</v>
      </c>
      <c r="M93" s="82">
        <f>L96</f>
        <v>6.1</v>
      </c>
      <c r="N93" s="82">
        <f t="shared" ref="N93:P93" si="90">M96</f>
        <v>5.042745451897737</v>
      </c>
      <c r="O93" s="82">
        <f t="shared" si="90"/>
        <v>8.3358085947442948</v>
      </c>
      <c r="P93" s="82">
        <f t="shared" si="90"/>
        <v>12.298395336181164</v>
      </c>
      <c r="Q93" s="82">
        <f>P96</f>
        <v>16.893594150450589</v>
      </c>
      <c r="R93" s="82">
        <f t="shared" ref="R93:S93" si="91">Q96</f>
        <v>22.298596559934794</v>
      </c>
      <c r="S93" s="82">
        <f t="shared" si="91"/>
        <v>28.494157181357437</v>
      </c>
    </row>
    <row r="94" spans="2:19" ht="15" thickTop="1" x14ac:dyDescent="0.3">
      <c r="B94" s="1" t="s">
        <v>180</v>
      </c>
      <c r="E94" s="56">
        <f>E91+E84+E77</f>
        <v>0</v>
      </c>
      <c r="F94" s="56">
        <f t="shared" ref="F94:L94" si="92">F91+F84+F77</f>
        <v>0.10000000000000053</v>
      </c>
      <c r="G94" s="56">
        <f t="shared" si="92"/>
        <v>0</v>
      </c>
      <c r="H94" s="56">
        <f t="shared" si="92"/>
        <v>-0.10000000000000009</v>
      </c>
      <c r="I94" s="56">
        <f t="shared" si="92"/>
        <v>0</v>
      </c>
      <c r="J94" s="56">
        <f t="shared" si="92"/>
        <v>0.20000000000000107</v>
      </c>
      <c r="K94" s="56">
        <f t="shared" si="92"/>
        <v>-9.9999999999997868E-2</v>
      </c>
      <c r="L94" s="56">
        <f t="shared" si="92"/>
        <v>6</v>
      </c>
      <c r="M94" s="28">
        <f t="shared" ref="M94:S94" si="93">SUM(M91,M84,M77)</f>
        <v>-1.0572545481022626</v>
      </c>
      <c r="N94" s="28">
        <f t="shared" si="93"/>
        <v>3.2930631428465578</v>
      </c>
      <c r="O94" s="28">
        <f t="shared" si="93"/>
        <v>3.9625867414368692</v>
      </c>
      <c r="P94" s="28">
        <f t="shared" si="93"/>
        <v>4.5951988142694269</v>
      </c>
      <c r="Q94" s="28">
        <f t="shared" si="93"/>
        <v>5.4050024094842062</v>
      </c>
      <c r="R94" s="28">
        <f t="shared" si="93"/>
        <v>6.1955606214226435</v>
      </c>
      <c r="S94" s="28">
        <f t="shared" si="93"/>
        <v>6.9410894317865708</v>
      </c>
    </row>
    <row r="95" spans="2:19" x14ac:dyDescent="0.3">
      <c r="B95" s="1" t="s">
        <v>183</v>
      </c>
      <c r="E95" s="56">
        <f>INDEX(cf!$B$5:$CO$107,MATCH($B95,cf!$A$5:$A$107,0),MATCH(E$6,cf!$B$3:$CO$3,0))</f>
        <v>0</v>
      </c>
      <c r="F95" s="56">
        <f>INDEX(cf!$B$5:$CO$107,MATCH($B95,cf!$A$5:$A$107,0),MATCH(F$6,cf!$B$3:$CO$3,0))</f>
        <v>0</v>
      </c>
      <c r="G95" s="56">
        <f>INDEX(cf!$B$5:$CO$107,MATCH($B95,cf!$A$5:$A$107,0),MATCH(G$6,cf!$B$3:$CO$3,0))</f>
        <v>0</v>
      </c>
      <c r="H95" s="56">
        <f>INDEX(cf!$B$5:$CO$107,MATCH($B95,cf!$A$5:$A$107,0),MATCH(H$6,cf!$B$3:$CO$3,0))</f>
        <v>0</v>
      </c>
      <c r="I95" s="56">
        <f>INDEX(cf!$B$5:$CO$107,MATCH($B95,cf!$A$5:$A$107,0),MATCH(I$6,cf!$B$3:$CO$3,0))</f>
        <v>0</v>
      </c>
      <c r="J95" s="56">
        <f>INDEX(cf!$B$5:$CO$107,MATCH($B95,cf!$A$5:$A$107,0),MATCH(J$6,cf!$B$3:$CO$3,0))</f>
        <v>0</v>
      </c>
      <c r="K95" s="56">
        <f>INDEX(cf!$B$5:$CO$107,MATCH($B95,cf!$A$5:$A$107,0),MATCH(K$6,cf!$B$3:$CO$3,0))</f>
        <v>0</v>
      </c>
      <c r="L95" s="56">
        <f>INDEX(cf!$B$5:$CO$107,MATCH($B95,cf!$A$5:$A$107,0),MATCH(L$6,cf!$B$3:$CO$3,0))</f>
        <v>0</v>
      </c>
      <c r="M95" s="28"/>
      <c r="N95" s="28"/>
      <c r="O95" s="28"/>
      <c r="P95" s="28"/>
      <c r="Q95" s="28"/>
      <c r="R95" s="28"/>
      <c r="S95" s="28"/>
    </row>
    <row r="96" spans="2:19" ht="15" thickBot="1" x14ac:dyDescent="0.35">
      <c r="B96" s="17" t="s">
        <v>184</v>
      </c>
      <c r="C96" s="17"/>
      <c r="D96" s="17"/>
      <c r="E96" s="81">
        <f>SUM(E93:E95)</f>
        <v>0.1</v>
      </c>
      <c r="F96" s="81">
        <f>SUM(F93:F95)</f>
        <v>0.20000000000000054</v>
      </c>
      <c r="G96" s="81">
        <f t="shared" ref="G96:L96" si="94">SUM(G93:G95)</f>
        <v>0.1</v>
      </c>
      <c r="H96" s="81">
        <f t="shared" si="94"/>
        <v>-8.3266726846886741E-17</v>
      </c>
      <c r="I96" s="81">
        <f t="shared" si="94"/>
        <v>0.1</v>
      </c>
      <c r="J96" s="81">
        <f>SUM(J93:J95)</f>
        <v>0.30000000000000104</v>
      </c>
      <c r="K96" s="81">
        <f t="shared" si="94"/>
        <v>0.20000000000000212</v>
      </c>
      <c r="L96" s="81">
        <f t="shared" si="94"/>
        <v>6.1</v>
      </c>
      <c r="M96" s="82">
        <f t="shared" ref="M96:S96" si="95">SUM(M93:M95)</f>
        <v>5.042745451897737</v>
      </c>
      <c r="N96" s="82">
        <f t="shared" si="95"/>
        <v>8.3358085947442948</v>
      </c>
      <c r="O96" s="82">
        <f t="shared" si="95"/>
        <v>12.298395336181164</v>
      </c>
      <c r="P96" s="82">
        <f t="shared" si="95"/>
        <v>16.893594150450589</v>
      </c>
      <c r="Q96" s="82">
        <f t="shared" si="95"/>
        <v>22.298596559934794</v>
      </c>
      <c r="R96" s="82">
        <f t="shared" si="95"/>
        <v>28.494157181357437</v>
      </c>
      <c r="S96" s="82">
        <f t="shared" si="95"/>
        <v>35.43524661314401</v>
      </c>
    </row>
    <row r="97" spans="2:19" ht="15" thickTop="1" x14ac:dyDescent="0.3">
      <c r="E97" s="89"/>
      <c r="F97" s="89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</row>
    <row r="98" spans="2:19" x14ac:dyDescent="0.3">
      <c r="B98" s="21" t="s">
        <v>42</v>
      </c>
      <c r="D98" s="72" t="s">
        <v>184</v>
      </c>
      <c r="E98" s="88">
        <f>INDEX(cf!$B$5:$CO$107,MATCH($D98,cf!$A$5:$A$107,0),MATCH(E$6,cf!$B$3:$CO$3,0))</f>
        <v>0.1</v>
      </c>
      <c r="F98" s="88">
        <f>INDEX(cf!$B$5:$CO$107,MATCH($D98,cf!$A$5:$A$107,0),MATCH(F$6,cf!$B$3:$CO$3,0))</f>
        <v>0.1</v>
      </c>
      <c r="G98" s="88">
        <f>INDEX(cf!$B$5:$CO$107,MATCH($D98,cf!$A$5:$A$107,0),MATCH(G$6,cf!$B$3:$CO$3,0))</f>
        <v>0.1</v>
      </c>
      <c r="H98" s="88">
        <f>INDEX(cf!$B$5:$CO$107,MATCH($D98,cf!$A$5:$A$107,0),MATCH(H$6,cf!$B$3:$CO$3,0))</f>
        <v>0.1</v>
      </c>
      <c r="I98" s="88">
        <f>INDEX(cf!$B$5:$CO$107,MATCH($D98,cf!$A$5:$A$107,0),MATCH(I$6,cf!$B$3:$CO$3,0))</f>
        <v>0.1</v>
      </c>
      <c r="J98" s="88">
        <f>INDEX(cf!$B$5:$CO$107,MATCH($D98,cf!$A$5:$A$107,0),MATCH(J$6,cf!$B$3:$CO$3,0))</f>
        <v>0.3</v>
      </c>
      <c r="K98" s="88">
        <f>INDEX(cf!$B$5:$CO$107,MATCH($D98,cf!$A$5:$A$107,0),MATCH(K$6,cf!$B$3:$CO$3,0))</f>
        <v>0.1</v>
      </c>
      <c r="L98" s="88">
        <f>INDEX(cf!$B$5:$CO$107,MATCH($D98,cf!$A$5:$A$107,0),MATCH(L$6,cf!$B$3:$CO$3,0))</f>
        <v>6.2</v>
      </c>
      <c r="M98" s="88">
        <f t="shared" ref="M98:S98" si="96">M12</f>
        <v>5.042745451897737</v>
      </c>
      <c r="N98" s="88">
        <f t="shared" si="96"/>
        <v>8.3358085947442948</v>
      </c>
      <c r="O98" s="88">
        <f t="shared" si="96"/>
        <v>12.298395336181164</v>
      </c>
      <c r="P98" s="88">
        <f t="shared" si="96"/>
        <v>16.893594150450589</v>
      </c>
      <c r="Q98" s="88">
        <f t="shared" si="96"/>
        <v>22.298596559934794</v>
      </c>
      <c r="R98" s="88">
        <f t="shared" si="96"/>
        <v>28.494157181357437</v>
      </c>
      <c r="S98" s="88">
        <f t="shared" si="96"/>
        <v>35.43524661314401</v>
      </c>
    </row>
    <row r="99" spans="2:19" x14ac:dyDescent="0.3">
      <c r="B99" s="21" t="s">
        <v>24</v>
      </c>
      <c r="E99" s="30">
        <f>ROUND(E98-E96,0)</f>
        <v>0</v>
      </c>
      <c r="F99" s="30">
        <f t="shared" ref="F99:S99" si="97">ROUND(F98-F96,0)</f>
        <v>0</v>
      </c>
      <c r="G99" s="30">
        <f t="shared" si="97"/>
        <v>0</v>
      </c>
      <c r="H99" s="30">
        <f t="shared" si="97"/>
        <v>0</v>
      </c>
      <c r="I99" s="30">
        <f t="shared" si="97"/>
        <v>0</v>
      </c>
      <c r="J99" s="30">
        <f t="shared" si="97"/>
        <v>0</v>
      </c>
      <c r="K99" s="30">
        <f t="shared" si="97"/>
        <v>0</v>
      </c>
      <c r="L99" s="30">
        <f t="shared" si="97"/>
        <v>0</v>
      </c>
      <c r="M99" s="30">
        <f t="shared" si="97"/>
        <v>0</v>
      </c>
      <c r="N99" s="30">
        <f t="shared" si="97"/>
        <v>0</v>
      </c>
      <c r="O99" s="30">
        <f t="shared" si="97"/>
        <v>0</v>
      </c>
      <c r="P99" s="30">
        <f t="shared" si="97"/>
        <v>0</v>
      </c>
      <c r="Q99" s="30">
        <f t="shared" si="97"/>
        <v>0</v>
      </c>
      <c r="R99" s="30">
        <f t="shared" si="97"/>
        <v>0</v>
      </c>
      <c r="S99" s="30">
        <f t="shared" si="97"/>
        <v>0</v>
      </c>
    </row>
  </sheetData>
  <sheetProtection algorithmName="SHA-512" hashValue="hh5/yNmUH9kCmrsQ/uWG1qYiEEXRARjNSzgd0uB6cmrloy4vCjnIHlzqrUFnnhfLFrwJtvcLbFHBJMgRk6CzEQ==" saltValue="AoRGZn3MWDwDskAW8sfxqw==" spinCount="100000" sheet="1" objects="1" scenarios="1" selectLockedCells="1"/>
  <conditionalFormatting sqref="E45:S45 E68:S68 E99:S99">
    <cfRule type="cellIs" dxfId="3" priority="46" operator="equal">
      <formula>0</formula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FD2E710A-171D-47AC-95F6-04A30387347E}">
            <xm:f>D$6&gt;cover!$E$13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E12:S15 E17:S21 E24:S26 E28:S30 E35:S39 E41:S42 E49:S50 E52:S53 E55:S55 E57:S57 E59:S59 E63:S63 E65:S65 D71 E72:S76 E78:S83 E85:S90 E94:S95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ED5BE-0D9E-4093-8F12-2222BD290101}">
  <sheetPr>
    <tabColor theme="4" tint="0.79998168889431442"/>
  </sheetPr>
  <dimension ref="A1:P10"/>
  <sheetViews>
    <sheetView workbookViewId="0">
      <selection activeCell="E10" sqref="E10"/>
    </sheetView>
  </sheetViews>
  <sheetFormatPr defaultColWidth="9.109375" defaultRowHeight="14.4" x14ac:dyDescent="0.3"/>
  <cols>
    <col min="1" max="1" width="2.6640625" style="1" customWidth="1"/>
    <col min="2" max="5" width="12.6640625" style="1" customWidth="1"/>
    <col min="6" max="6" width="12.6640625" style="8" customWidth="1"/>
    <col min="7" max="52" width="12.6640625" style="1" customWidth="1"/>
    <col min="53" max="16384" width="9.109375" style="1"/>
  </cols>
  <sheetData>
    <row r="1" spans="1:16" ht="33.6" x14ac:dyDescent="0.65">
      <c r="B1" s="67" t="s">
        <v>135</v>
      </c>
    </row>
    <row r="2" spans="1:16" s="15" customFormat="1" ht="15" thickBot="1" x14ac:dyDescent="0.35">
      <c r="A2" s="13"/>
      <c r="B2" s="14" t="str">
        <f>UPPER(cover!E8&amp;" - "&amp;DAY(cover!E12)&amp;"/"&amp;MONTH(cover!E12)&amp;"/"&amp;YEAR(cover!E12))</f>
        <v>UP GLOBAL SOURCING HOLDINGS PLC - 19/4/2023</v>
      </c>
      <c r="F2" s="13"/>
    </row>
    <row r="3" spans="1:16" ht="15" thickTop="1" x14ac:dyDescent="0.3">
      <c r="B3" s="25" t="str">
        <f>IF($E$10&lt;&gt;0,"**ERROR**","")</f>
        <v/>
      </c>
    </row>
    <row r="4" spans="1:16" s="3" customFormat="1" x14ac:dyDescent="0.3">
      <c r="A4" s="5"/>
      <c r="B4" s="2" t="s">
        <v>25</v>
      </c>
      <c r="F4" s="4"/>
    </row>
    <row r="6" spans="1:16" x14ac:dyDescent="0.3">
      <c r="B6" s="1" t="s">
        <v>26</v>
      </c>
      <c r="E6" s="23">
        <f>ROUND(SUM('detailed-financials'!E45:Q45),0)</f>
        <v>0</v>
      </c>
      <c r="F6" s="20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3">
      <c r="B7" s="1" t="s">
        <v>27</v>
      </c>
      <c r="E7" s="23">
        <f>ROUND(SUM('detailed-financials'!E68:Q68),0)</f>
        <v>0</v>
      </c>
      <c r="F7" s="20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3">
      <c r="B8" s="1" t="s">
        <v>28</v>
      </c>
      <c r="E8" s="23">
        <f>ROUND(SUM('detailed-financials'!E99:Q99),0)</f>
        <v>0</v>
      </c>
      <c r="F8" s="20"/>
      <c r="G8" s="19"/>
      <c r="H8" s="19"/>
      <c r="I8" s="19"/>
      <c r="J8" s="19"/>
      <c r="K8" s="19"/>
      <c r="L8" s="19"/>
      <c r="M8" s="19"/>
      <c r="N8" s="19"/>
      <c r="O8" s="19"/>
      <c r="P8" s="19"/>
    </row>
    <row r="10" spans="1:16" x14ac:dyDescent="0.3">
      <c r="B10" s="21" t="s">
        <v>24</v>
      </c>
      <c r="E10" s="23">
        <f>SUM(E6:E8)</f>
        <v>0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</sheetData>
  <sheetProtection algorithmName="SHA-512" hashValue="SeOSN9fBNu5kvBwC/dXyy6Swn7s63BY1avSh8REWxDxH1AsirrC9vfKFz0FGMiUF/suMPMHxmu+67F38JEFZ+A==" saltValue="WEQbou6MqZaeEsS2SgzqDg==" spinCount="100000" sheet="1" objects="1" scenarios="1" selectLockedCells="1" selectUnlockedCells="1"/>
  <conditionalFormatting sqref="E6:E8">
    <cfRule type="cellIs" dxfId="2" priority="2" operator="equal">
      <formula>0</formula>
    </cfRule>
  </conditionalFormatting>
  <conditionalFormatting sqref="E10">
    <cfRule type="cellIs" dxfId="1" priority="1" operator="equal">
      <formula>0</formula>
    </cfRule>
  </conditionalFormatting>
  <conditionalFormatting sqref="F10:P10">
    <cfRule type="cellIs" dxfId="0" priority="3" operator="notEqual">
      <formula>"OK"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E03B-BD75-4287-81A8-0D85D722E39E}">
  <sheetPr>
    <tabColor theme="6" tint="0.59999389629810485"/>
  </sheetPr>
  <dimension ref="A1"/>
  <sheetViews>
    <sheetView workbookViewId="0">
      <selection activeCell="M4" sqref="M4"/>
    </sheetView>
  </sheetViews>
  <sheetFormatPr defaultRowHeight="14.4" x14ac:dyDescent="0.3"/>
  <cols>
    <col min="1" max="16384" width="8.88671875" style="71"/>
  </cols>
  <sheetData/>
  <sheetProtection sheet="1" objects="1" scenarios="1" selectLockedCells="1" selectUnlockedCells="1"/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E077A-DC99-4B90-B66F-BAB7DCE72D01}">
  <sheetPr>
    <tabColor theme="6" tint="0.59999389629810485"/>
  </sheetPr>
  <dimension ref="A1:G14"/>
  <sheetViews>
    <sheetView workbookViewId="0">
      <selection sqref="A1:XFD1048576"/>
    </sheetView>
  </sheetViews>
  <sheetFormatPr defaultRowHeight="14.4" x14ac:dyDescent="0.3"/>
  <cols>
    <col min="1" max="1" width="23.21875" bestFit="1" customWidth="1"/>
    <col min="2" max="2" width="9.33203125" bestFit="1" customWidth="1"/>
    <col min="3" max="3" width="9" bestFit="1" customWidth="1"/>
    <col min="4" max="4" width="9.33203125" bestFit="1" customWidth="1"/>
    <col min="5" max="5" width="9" bestFit="1" customWidth="1"/>
    <col min="6" max="6" width="9.33203125" bestFit="1" customWidth="1"/>
    <col min="7" max="7" width="9" bestFit="1" customWidth="1"/>
  </cols>
  <sheetData>
    <row r="1" spans="1:7" x14ac:dyDescent="0.3">
      <c r="A1" t="s">
        <v>138</v>
      </c>
      <c r="B1">
        <v>2023</v>
      </c>
      <c r="D1">
        <v>2024</v>
      </c>
      <c r="F1">
        <v>2025</v>
      </c>
    </row>
    <row r="2" spans="1:7" x14ac:dyDescent="0.3">
      <c r="A2" t="s">
        <v>139</v>
      </c>
      <c r="B2" s="69">
        <v>164.7</v>
      </c>
      <c r="C2" s="70">
        <v>6.8099999999999994E-2</v>
      </c>
      <c r="D2" s="69">
        <v>175.2</v>
      </c>
      <c r="E2" s="70">
        <v>6.3899999999999998E-2</v>
      </c>
      <c r="F2" s="69">
        <v>185.1</v>
      </c>
      <c r="G2" s="70">
        <v>5.6099999999999997E-2</v>
      </c>
    </row>
    <row r="3" spans="1:7" x14ac:dyDescent="0.3">
      <c r="A3" t="s">
        <v>36</v>
      </c>
      <c r="B3" s="69">
        <v>20.100000000000001</v>
      </c>
      <c r="C3" s="70">
        <v>7.4300000000000005E-2</v>
      </c>
      <c r="D3" s="69">
        <v>21.6</v>
      </c>
      <c r="E3" s="70">
        <v>7.3300000000000004E-2</v>
      </c>
      <c r="F3" s="69">
        <v>23.4</v>
      </c>
      <c r="G3" s="70">
        <v>8.4599999999999995E-2</v>
      </c>
    </row>
    <row r="4" spans="1:7" x14ac:dyDescent="0.3">
      <c r="A4" t="s">
        <v>38</v>
      </c>
      <c r="B4" s="69">
        <v>18.2</v>
      </c>
      <c r="C4" s="70">
        <v>0.11700000000000001</v>
      </c>
      <c r="D4" s="69">
        <v>19.5</v>
      </c>
      <c r="E4" s="70">
        <v>7.1400000000000005E-2</v>
      </c>
      <c r="F4" s="69">
        <v>21.3</v>
      </c>
      <c r="G4" s="70">
        <v>9.2299999999999993E-2</v>
      </c>
    </row>
    <row r="5" spans="1:7" x14ac:dyDescent="0.3">
      <c r="A5" t="s">
        <v>140</v>
      </c>
      <c r="B5" s="69">
        <v>16.7</v>
      </c>
      <c r="C5" s="70">
        <v>8.43E-2</v>
      </c>
      <c r="D5" s="69">
        <v>18.399999999999999</v>
      </c>
      <c r="E5" s="70">
        <v>9.6600000000000005E-2</v>
      </c>
      <c r="F5" s="69">
        <v>20.3</v>
      </c>
      <c r="G5" s="70">
        <v>0.10299999999999999</v>
      </c>
    </row>
    <row r="6" spans="1:7" x14ac:dyDescent="0.3">
      <c r="A6" t="s">
        <v>142</v>
      </c>
      <c r="B6" s="69">
        <v>13</v>
      </c>
      <c r="C6" s="70">
        <v>0.02</v>
      </c>
      <c r="D6" s="69">
        <v>13.6</v>
      </c>
      <c r="E6" s="70">
        <v>4.9599999999999998E-2</v>
      </c>
      <c r="F6" s="69">
        <v>14.9</v>
      </c>
      <c r="G6" s="70">
        <v>9.7699999999999995E-2</v>
      </c>
    </row>
    <row r="7" spans="1:7" x14ac:dyDescent="0.3">
      <c r="A7" t="s">
        <v>298</v>
      </c>
      <c r="B7" s="69">
        <v>14.7</v>
      </c>
      <c r="C7" s="70">
        <v>-0.99</v>
      </c>
      <c r="D7" s="69">
        <v>15.5</v>
      </c>
      <c r="E7" s="70">
        <v>5.2600000000000001E-2</v>
      </c>
      <c r="F7" s="69">
        <v>16.899999999999999</v>
      </c>
      <c r="G7" s="70">
        <v>9.0300000000000005E-2</v>
      </c>
    </row>
    <row r="8" spans="1:7" x14ac:dyDescent="0.3">
      <c r="A8" t="s">
        <v>299</v>
      </c>
      <c r="B8" s="69">
        <v>7.35</v>
      </c>
      <c r="C8" s="70">
        <v>3.2300000000000002E-2</v>
      </c>
      <c r="D8" s="69">
        <v>7.75</v>
      </c>
      <c r="E8" s="70">
        <v>5.4399999999999997E-2</v>
      </c>
      <c r="F8" s="69">
        <v>8.4499999999999993</v>
      </c>
      <c r="G8" s="70">
        <v>9.0300000000000005E-2</v>
      </c>
    </row>
    <row r="9" spans="1:7" x14ac:dyDescent="0.3">
      <c r="A9" t="s">
        <v>143</v>
      </c>
      <c r="B9" s="69">
        <v>1.44</v>
      </c>
      <c r="C9" s="70">
        <v>-0.21920000000000001</v>
      </c>
      <c r="D9" s="69">
        <v>1.46</v>
      </c>
      <c r="E9" s="70">
        <v>1.7399999999999999E-2</v>
      </c>
      <c r="F9" s="69">
        <v>1.2</v>
      </c>
      <c r="G9" s="70">
        <v>-0.18029999999999999</v>
      </c>
    </row>
    <row r="10" spans="1:7" x14ac:dyDescent="0.3">
      <c r="A10" t="s">
        <v>144</v>
      </c>
      <c r="B10" s="69">
        <v>9.5299999999999994</v>
      </c>
      <c r="C10" s="70">
        <v>9.5820000000000007</v>
      </c>
      <c r="D10" s="69">
        <v>10.7</v>
      </c>
      <c r="E10" s="70">
        <v>0.123</v>
      </c>
      <c r="F10" s="69">
        <v>11.8</v>
      </c>
      <c r="G10" s="70">
        <v>9.7799999999999998E-2</v>
      </c>
    </row>
    <row r="11" spans="1:7" x14ac:dyDescent="0.3">
      <c r="A11" t="s">
        <v>145</v>
      </c>
      <c r="B11" s="69">
        <v>20.6</v>
      </c>
      <c r="C11" s="70">
        <v>-0.2374</v>
      </c>
      <c r="D11" s="69">
        <v>15.8</v>
      </c>
      <c r="E11" s="70">
        <v>-0.2306</v>
      </c>
      <c r="F11" s="69">
        <v>11</v>
      </c>
      <c r="G11" s="70">
        <v>-0.30599999999999999</v>
      </c>
    </row>
    <row r="12" spans="1:7" x14ac:dyDescent="0.3">
      <c r="A12" t="s">
        <v>146</v>
      </c>
      <c r="B12" s="69" t="s">
        <v>141</v>
      </c>
      <c r="C12" s="70"/>
      <c r="D12" s="69" t="s">
        <v>141</v>
      </c>
      <c r="E12" s="70"/>
      <c r="F12" s="69" t="s">
        <v>141</v>
      </c>
      <c r="G12" s="69"/>
    </row>
    <row r="13" spans="1:7" x14ac:dyDescent="0.3">
      <c r="A13" t="s">
        <v>147</v>
      </c>
      <c r="B13" s="69" t="s">
        <v>141</v>
      </c>
      <c r="C13" s="70"/>
      <c r="D13" s="69" t="s">
        <v>141</v>
      </c>
      <c r="E13" s="70"/>
      <c r="F13" s="69" t="s">
        <v>141</v>
      </c>
      <c r="G13" s="69"/>
    </row>
    <row r="14" spans="1:7" x14ac:dyDescent="0.3">
      <c r="B14" s="69"/>
      <c r="C14" s="69"/>
      <c r="D14" s="69"/>
      <c r="E14" s="69"/>
      <c r="F14" s="69"/>
      <c r="G14" s="69"/>
    </row>
  </sheetData>
  <sheetProtection algorithmName="SHA-512" hashValue="anK384nUMFz0FU6DsySGs53Doy1P2fbo4PN4F8INXhDZX+IKMJMK3cfWa67uQ1woLMsuoewN/RluAlGj5dDGNg==" saltValue="x5OfV0LPGwK9gBlp17Dk7w==" spinCount="100000" sheet="1"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55C48-F607-49CE-93AC-C793C8ABBDEA}">
  <sheetPr>
    <tabColor theme="6" tint="0.59999389629810485"/>
  </sheetPr>
  <dimension ref="A2:X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2" sqref="K12"/>
    </sheetView>
  </sheetViews>
  <sheetFormatPr defaultRowHeight="14.4" x14ac:dyDescent="0.3"/>
  <cols>
    <col min="1" max="1" width="30.6640625" bestFit="1" customWidth="1"/>
    <col min="2" max="24" width="11.109375" bestFit="1" customWidth="1"/>
  </cols>
  <sheetData>
    <row r="2" spans="1:24" x14ac:dyDescent="0.3">
      <c r="A2" t="s">
        <v>138</v>
      </c>
      <c r="B2">
        <v>2014</v>
      </c>
      <c r="C2">
        <v>2015</v>
      </c>
      <c r="D2">
        <v>2016</v>
      </c>
      <c r="E2">
        <v>2017</v>
      </c>
      <c r="F2">
        <v>2018</v>
      </c>
      <c r="G2">
        <v>2019</v>
      </c>
      <c r="H2">
        <v>2020</v>
      </c>
      <c r="I2">
        <v>2021</v>
      </c>
      <c r="J2">
        <v>2022</v>
      </c>
    </row>
    <row r="3" spans="1:24" x14ac:dyDescent="0.3">
      <c r="A3" t="s">
        <v>148</v>
      </c>
      <c r="B3" s="68">
        <v>41759</v>
      </c>
      <c r="C3" s="68">
        <v>42216</v>
      </c>
      <c r="D3" s="68">
        <v>42582</v>
      </c>
      <c r="E3" s="68">
        <v>42947</v>
      </c>
      <c r="F3" s="68">
        <v>43312</v>
      </c>
      <c r="G3" s="68">
        <v>43677</v>
      </c>
      <c r="H3" s="68">
        <v>44043</v>
      </c>
      <c r="I3" s="68">
        <v>44408</v>
      </c>
      <c r="J3" s="68">
        <v>44773</v>
      </c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3">
      <c r="A4" t="s">
        <v>149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 t="s">
        <v>288</v>
      </c>
      <c r="H4" t="s">
        <v>288</v>
      </c>
      <c r="I4" t="s">
        <v>288</v>
      </c>
      <c r="J4" t="s">
        <v>288</v>
      </c>
    </row>
    <row r="5" spans="1:24" x14ac:dyDescent="0.3">
      <c r="A5" t="s">
        <v>150</v>
      </c>
    </row>
    <row r="6" spans="1:24" x14ac:dyDescent="0.3">
      <c r="A6" t="s">
        <v>251</v>
      </c>
    </row>
    <row r="7" spans="1:24" x14ac:dyDescent="0.3">
      <c r="A7" t="s">
        <v>139</v>
      </c>
      <c r="B7">
        <v>40.1</v>
      </c>
      <c r="C7">
        <v>76.8</v>
      </c>
      <c r="D7">
        <v>79</v>
      </c>
      <c r="E7">
        <v>110</v>
      </c>
      <c r="F7">
        <v>87.6</v>
      </c>
      <c r="G7">
        <v>123.3</v>
      </c>
      <c r="H7">
        <v>115.7</v>
      </c>
      <c r="I7">
        <v>136.4</v>
      </c>
      <c r="J7">
        <v>154.19999999999999</v>
      </c>
    </row>
    <row r="8" spans="1:24" x14ac:dyDescent="0.3">
      <c r="A8" t="s">
        <v>33</v>
      </c>
      <c r="B8">
        <v>-30.4</v>
      </c>
      <c r="C8">
        <v>-56.7</v>
      </c>
      <c r="D8">
        <v>-60.1</v>
      </c>
      <c r="E8">
        <v>-85.4</v>
      </c>
      <c r="F8">
        <v>-68</v>
      </c>
      <c r="G8">
        <v>-96</v>
      </c>
      <c r="H8">
        <v>-89.1</v>
      </c>
      <c r="I8">
        <v>-106.1</v>
      </c>
      <c r="J8">
        <v>-115.8</v>
      </c>
    </row>
    <row r="9" spans="1:24" x14ac:dyDescent="0.3">
      <c r="A9" t="s">
        <v>34</v>
      </c>
      <c r="B9">
        <v>9.6999999999999993</v>
      </c>
      <c r="C9">
        <v>20.100000000000001</v>
      </c>
      <c r="D9">
        <v>18.899999999999999</v>
      </c>
      <c r="E9">
        <v>24.6</v>
      </c>
      <c r="F9">
        <v>19.600000000000001</v>
      </c>
      <c r="G9">
        <v>27.2</v>
      </c>
      <c r="H9">
        <v>26.6</v>
      </c>
      <c r="I9">
        <v>30.2</v>
      </c>
      <c r="J9">
        <v>38.4</v>
      </c>
    </row>
    <row r="10" spans="1:24" x14ac:dyDescent="0.3">
      <c r="A10" t="s">
        <v>252</v>
      </c>
      <c r="B10">
        <v>-8.4</v>
      </c>
      <c r="C10">
        <v>-14.9</v>
      </c>
      <c r="D10">
        <v>-11</v>
      </c>
      <c r="E10">
        <v>-13.5</v>
      </c>
      <c r="F10">
        <v>-13.8</v>
      </c>
      <c r="G10">
        <v>-18.3</v>
      </c>
      <c r="H10">
        <v>-18</v>
      </c>
      <c r="I10">
        <v>-20.2</v>
      </c>
      <c r="J10">
        <v>-22.1</v>
      </c>
    </row>
    <row r="11" spans="1:24" x14ac:dyDescent="0.3">
      <c r="A11" t="s">
        <v>253</v>
      </c>
      <c r="B11">
        <v>1.3</v>
      </c>
      <c r="C11">
        <v>5.2</v>
      </c>
      <c r="D11">
        <v>7.9</v>
      </c>
      <c r="E11">
        <v>11</v>
      </c>
      <c r="F11">
        <v>5.8</v>
      </c>
      <c r="G11">
        <v>8.9</v>
      </c>
      <c r="H11">
        <v>8.6</v>
      </c>
      <c r="I11">
        <v>10</v>
      </c>
      <c r="J11">
        <v>16.3</v>
      </c>
    </row>
    <row r="12" spans="1:24" x14ac:dyDescent="0.3">
      <c r="A12" t="s">
        <v>254</v>
      </c>
      <c r="B12">
        <v>-1.5</v>
      </c>
      <c r="C12">
        <v>-0.8</v>
      </c>
      <c r="D12">
        <v>-0.4</v>
      </c>
      <c r="E12">
        <v>-0.5</v>
      </c>
      <c r="F12">
        <v>-0.3</v>
      </c>
      <c r="G12">
        <v>-0.8</v>
      </c>
      <c r="H12">
        <v>-0.8</v>
      </c>
      <c r="I12">
        <v>-0.5</v>
      </c>
      <c r="J12">
        <v>-0.9</v>
      </c>
    </row>
    <row r="13" spans="1:24" x14ac:dyDescent="0.3">
      <c r="A13" t="s">
        <v>295</v>
      </c>
    </row>
    <row r="14" spans="1:24" x14ac:dyDescent="0.3">
      <c r="A14" t="s">
        <v>255</v>
      </c>
      <c r="D14">
        <v>-1.2</v>
      </c>
      <c r="E14">
        <v>-3.2</v>
      </c>
      <c r="G14">
        <v>0</v>
      </c>
      <c r="H14">
        <v>0.5</v>
      </c>
      <c r="I14">
        <v>0</v>
      </c>
      <c r="J14">
        <v>0</v>
      </c>
    </row>
    <row r="15" spans="1:24" x14ac:dyDescent="0.3">
      <c r="A15" t="s">
        <v>140</v>
      </c>
      <c r="B15">
        <v>-0.2</v>
      </c>
      <c r="C15">
        <v>4.4000000000000004</v>
      </c>
      <c r="D15">
        <v>6.3</v>
      </c>
      <c r="E15">
        <v>7.4</v>
      </c>
      <c r="F15">
        <v>5.4</v>
      </c>
      <c r="G15">
        <v>8.1</v>
      </c>
      <c r="H15">
        <v>8.4</v>
      </c>
      <c r="I15">
        <v>9.5</v>
      </c>
      <c r="J15">
        <v>15.4</v>
      </c>
    </row>
    <row r="16" spans="1:24" x14ac:dyDescent="0.3">
      <c r="A16" t="s">
        <v>256</v>
      </c>
      <c r="B16">
        <v>0</v>
      </c>
      <c r="C16">
        <v>-0.8</v>
      </c>
      <c r="D16">
        <v>-1.4</v>
      </c>
      <c r="E16">
        <v>-1.9</v>
      </c>
      <c r="F16">
        <v>-1.1000000000000001</v>
      </c>
      <c r="G16">
        <v>-1.7</v>
      </c>
      <c r="H16">
        <v>-1.7</v>
      </c>
      <c r="I16">
        <v>-2.2000000000000002</v>
      </c>
      <c r="J16">
        <v>-3.1</v>
      </c>
    </row>
    <row r="17" spans="1:10" x14ac:dyDescent="0.3">
      <c r="A17" t="s">
        <v>142</v>
      </c>
      <c r="B17">
        <v>-0.2</v>
      </c>
      <c r="C17">
        <v>3.6</v>
      </c>
      <c r="D17">
        <v>4.9000000000000004</v>
      </c>
      <c r="E17">
        <v>5.6</v>
      </c>
      <c r="F17">
        <v>4.3</v>
      </c>
      <c r="G17">
        <v>6.4</v>
      </c>
      <c r="H17">
        <v>6.6</v>
      </c>
      <c r="I17">
        <v>7.3</v>
      </c>
      <c r="J17">
        <v>12.4</v>
      </c>
    </row>
    <row r="18" spans="1:10" x14ac:dyDescent="0.3">
      <c r="A18" t="s">
        <v>236</v>
      </c>
    </row>
    <row r="19" spans="1:10" x14ac:dyDescent="0.3">
      <c r="A19" t="s">
        <v>257</v>
      </c>
    </row>
    <row r="20" spans="1:10" x14ac:dyDescent="0.3">
      <c r="A20" t="s">
        <v>258</v>
      </c>
    </row>
    <row r="21" spans="1:10" x14ac:dyDescent="0.3">
      <c r="A21" t="s">
        <v>259</v>
      </c>
      <c r="B21">
        <v>-0.2</v>
      </c>
      <c r="C21">
        <v>3.6</v>
      </c>
      <c r="D21">
        <v>4.9000000000000004</v>
      </c>
      <c r="E21">
        <v>5.6</v>
      </c>
      <c r="F21">
        <v>4.3</v>
      </c>
      <c r="G21">
        <v>6.4</v>
      </c>
      <c r="H21">
        <v>6.6</v>
      </c>
      <c r="I21">
        <v>7.3</v>
      </c>
      <c r="J21">
        <v>12.4</v>
      </c>
    </row>
    <row r="22" spans="1:10" x14ac:dyDescent="0.3">
      <c r="A22" t="s">
        <v>260</v>
      </c>
    </row>
    <row r="23" spans="1:10" x14ac:dyDescent="0.3">
      <c r="A23" t="s">
        <v>36</v>
      </c>
      <c r="B23">
        <v>1.6</v>
      </c>
      <c r="C23">
        <v>5.4</v>
      </c>
      <c r="D23">
        <v>7</v>
      </c>
      <c r="E23">
        <v>8.3000000000000007</v>
      </c>
      <c r="F23">
        <v>6.3</v>
      </c>
      <c r="G23">
        <v>10.4</v>
      </c>
      <c r="H23">
        <v>10.6</v>
      </c>
      <c r="I23">
        <v>11.7</v>
      </c>
      <c r="J23">
        <v>18.399999999999999</v>
      </c>
    </row>
    <row r="24" spans="1:10" x14ac:dyDescent="0.3">
      <c r="A24" t="s">
        <v>48</v>
      </c>
      <c r="B24">
        <v>-0.2</v>
      </c>
      <c r="C24">
        <v>-0.3</v>
      </c>
      <c r="D24">
        <v>-0.3</v>
      </c>
      <c r="E24">
        <v>-0.4</v>
      </c>
      <c r="F24">
        <v>-0.5</v>
      </c>
      <c r="G24">
        <v>-1.5</v>
      </c>
      <c r="H24">
        <v>-1.4</v>
      </c>
      <c r="I24">
        <v>-1.6</v>
      </c>
      <c r="J24">
        <v>-2.1</v>
      </c>
    </row>
    <row r="25" spans="1:10" x14ac:dyDescent="0.3">
      <c r="A25" t="s">
        <v>38</v>
      </c>
      <c r="B25">
        <v>1.4</v>
      </c>
      <c r="C25">
        <v>5</v>
      </c>
      <c r="D25">
        <v>6.7</v>
      </c>
      <c r="E25">
        <v>7.9</v>
      </c>
      <c r="F25">
        <v>5.8</v>
      </c>
      <c r="G25">
        <v>8.9</v>
      </c>
      <c r="H25">
        <v>9.1</v>
      </c>
      <c r="I25">
        <v>10</v>
      </c>
      <c r="J25">
        <v>16.3</v>
      </c>
    </row>
    <row r="26" spans="1:10" x14ac:dyDescent="0.3">
      <c r="A26" t="s">
        <v>44</v>
      </c>
      <c r="B26">
        <v>-1.6</v>
      </c>
      <c r="C26">
        <v>-0.6</v>
      </c>
      <c r="D26">
        <v>-0.4</v>
      </c>
      <c r="E26">
        <v>-0.5</v>
      </c>
      <c r="F26">
        <v>-0.4</v>
      </c>
      <c r="G26">
        <v>-0.8</v>
      </c>
      <c r="H26">
        <v>-0.8</v>
      </c>
      <c r="I26">
        <v>-0.5</v>
      </c>
      <c r="J26">
        <v>-0.9</v>
      </c>
    </row>
    <row r="27" spans="1:10" x14ac:dyDescent="0.3">
      <c r="A27" t="s">
        <v>140</v>
      </c>
      <c r="B27">
        <v>-0.2</v>
      </c>
      <c r="C27">
        <v>4.4000000000000004</v>
      </c>
      <c r="D27">
        <v>6.3</v>
      </c>
      <c r="E27">
        <v>7.4</v>
      </c>
      <c r="F27">
        <v>5.4</v>
      </c>
      <c r="G27">
        <v>8.1</v>
      </c>
      <c r="H27">
        <v>8.4</v>
      </c>
      <c r="I27">
        <v>9.5</v>
      </c>
      <c r="J27">
        <v>15.4</v>
      </c>
    </row>
    <row r="28" spans="1:10" x14ac:dyDescent="0.3">
      <c r="A28" t="s">
        <v>261</v>
      </c>
    </row>
    <row r="29" spans="1:10" x14ac:dyDescent="0.3">
      <c r="A29" t="s">
        <v>262</v>
      </c>
    </row>
    <row r="30" spans="1:10" x14ac:dyDescent="0.3">
      <c r="A30" t="s">
        <v>193</v>
      </c>
    </row>
    <row r="31" spans="1:10" x14ac:dyDescent="0.3">
      <c r="A31" t="s">
        <v>263</v>
      </c>
      <c r="E31">
        <v>5.0999999999999996</v>
      </c>
      <c r="F31">
        <v>2.7</v>
      </c>
      <c r="G31">
        <v>4.0999999999999996</v>
      </c>
      <c r="H31">
        <v>4</v>
      </c>
      <c r="I31">
        <v>5</v>
      </c>
      <c r="J31">
        <v>7.1</v>
      </c>
    </row>
    <row r="32" spans="1:10" x14ac:dyDescent="0.3">
      <c r="A32" t="s">
        <v>264</v>
      </c>
      <c r="E32">
        <v>5.0999999999999996</v>
      </c>
      <c r="F32">
        <v>2.7</v>
      </c>
      <c r="G32">
        <v>4.0999999999999996</v>
      </c>
      <c r="H32">
        <v>4</v>
      </c>
      <c r="I32">
        <v>5</v>
      </c>
      <c r="J32">
        <v>7.1</v>
      </c>
    </row>
    <row r="33" spans="1:10" x14ac:dyDescent="0.3">
      <c r="A33" t="s">
        <v>265</v>
      </c>
      <c r="B33">
        <v>-0.2</v>
      </c>
      <c r="C33">
        <v>4.3</v>
      </c>
      <c r="D33">
        <v>6.6</v>
      </c>
      <c r="E33">
        <v>7.1</v>
      </c>
      <c r="F33">
        <v>5.2</v>
      </c>
      <c r="G33">
        <v>8</v>
      </c>
      <c r="H33">
        <v>8.3000000000000007</v>
      </c>
      <c r="I33">
        <v>9.1</v>
      </c>
      <c r="J33">
        <v>13.9</v>
      </c>
    </row>
    <row r="34" spans="1:10" x14ac:dyDescent="0.3">
      <c r="A34" t="s">
        <v>266</v>
      </c>
    </row>
    <row r="35" spans="1:10" x14ac:dyDescent="0.3">
      <c r="A35" t="s">
        <v>267</v>
      </c>
      <c r="B35">
        <v>-0.2</v>
      </c>
      <c r="C35">
        <v>4.3</v>
      </c>
      <c r="D35">
        <v>6.6</v>
      </c>
      <c r="E35">
        <v>7.1</v>
      </c>
      <c r="F35">
        <v>5.2</v>
      </c>
      <c r="G35">
        <v>8</v>
      </c>
      <c r="H35">
        <v>8.3000000000000007</v>
      </c>
      <c r="I35">
        <v>9.1</v>
      </c>
      <c r="J35">
        <v>13.9</v>
      </c>
    </row>
    <row r="36" spans="1:10" x14ac:dyDescent="0.3">
      <c r="A36" t="s">
        <v>268</v>
      </c>
      <c r="B36">
        <v>-0.2</v>
      </c>
      <c r="C36">
        <v>4.3</v>
      </c>
      <c r="D36">
        <v>7.9</v>
      </c>
      <c r="E36">
        <v>10.3</v>
      </c>
      <c r="F36">
        <v>5.2</v>
      </c>
      <c r="G36">
        <v>8</v>
      </c>
      <c r="H36">
        <v>7.8</v>
      </c>
      <c r="I36">
        <v>9.1</v>
      </c>
      <c r="J36">
        <v>13.9</v>
      </c>
    </row>
    <row r="37" spans="1:10" x14ac:dyDescent="0.3">
      <c r="A37" t="s">
        <v>269</v>
      </c>
    </row>
    <row r="38" spans="1:10" x14ac:dyDescent="0.3">
      <c r="A38" t="s">
        <v>140</v>
      </c>
      <c r="B38">
        <v>-0.2</v>
      </c>
      <c r="C38">
        <v>4.4000000000000004</v>
      </c>
      <c r="D38">
        <v>7.5</v>
      </c>
      <c r="E38">
        <v>10.6</v>
      </c>
      <c r="F38">
        <v>5.4</v>
      </c>
      <c r="G38">
        <v>8.1</v>
      </c>
      <c r="H38">
        <v>7.9</v>
      </c>
      <c r="I38">
        <v>9.5</v>
      </c>
      <c r="J38">
        <v>15.4</v>
      </c>
    </row>
    <row r="39" spans="1:10" x14ac:dyDescent="0.3">
      <c r="A39" t="s">
        <v>142</v>
      </c>
      <c r="B39">
        <v>-0.2</v>
      </c>
      <c r="C39">
        <v>3.6</v>
      </c>
      <c r="D39">
        <v>5.9</v>
      </c>
      <c r="E39">
        <v>8.1</v>
      </c>
      <c r="F39">
        <v>4.3</v>
      </c>
      <c r="G39">
        <v>6.4</v>
      </c>
      <c r="H39">
        <v>6.2</v>
      </c>
      <c r="I39">
        <v>7.3</v>
      </c>
      <c r="J39">
        <v>12.4</v>
      </c>
    </row>
    <row r="40" spans="1:10" x14ac:dyDescent="0.3">
      <c r="A40" t="s">
        <v>38</v>
      </c>
      <c r="B40">
        <v>1.4</v>
      </c>
      <c r="C40">
        <v>5</v>
      </c>
      <c r="D40">
        <v>7.9</v>
      </c>
      <c r="E40">
        <v>11</v>
      </c>
      <c r="F40">
        <v>5.8</v>
      </c>
      <c r="G40">
        <v>8.9</v>
      </c>
      <c r="H40">
        <v>8.6999999999999993</v>
      </c>
      <c r="I40">
        <v>10</v>
      </c>
      <c r="J40">
        <v>16.3</v>
      </c>
    </row>
    <row r="41" spans="1:10" x14ac:dyDescent="0.3">
      <c r="A41" t="s">
        <v>36</v>
      </c>
      <c r="B41">
        <v>1.6</v>
      </c>
      <c r="C41">
        <v>5.4</v>
      </c>
      <c r="D41">
        <v>8.1999999999999993</v>
      </c>
      <c r="E41">
        <v>11.4</v>
      </c>
      <c r="F41">
        <v>6.3</v>
      </c>
      <c r="G41">
        <v>10.4</v>
      </c>
      <c r="H41">
        <v>10.1</v>
      </c>
      <c r="I41">
        <v>11.7</v>
      </c>
      <c r="J41">
        <v>18.399999999999999</v>
      </c>
    </row>
    <row r="42" spans="1:10" x14ac:dyDescent="0.3">
      <c r="A42" t="s">
        <v>270</v>
      </c>
    </row>
    <row r="43" spans="1:10" x14ac:dyDescent="0.3">
      <c r="A43" t="s">
        <v>47</v>
      </c>
      <c r="D43">
        <v>7.9</v>
      </c>
      <c r="E43">
        <v>11.1</v>
      </c>
      <c r="G43">
        <v>9.1999999999999993</v>
      </c>
      <c r="H43">
        <v>8.9</v>
      </c>
    </row>
    <row r="44" spans="1:10" x14ac:dyDescent="0.3">
      <c r="A44" t="s">
        <v>142</v>
      </c>
      <c r="D44">
        <v>5.9</v>
      </c>
      <c r="E44">
        <v>8.4</v>
      </c>
      <c r="F44">
        <v>4.5</v>
      </c>
      <c r="G44">
        <v>6.7</v>
      </c>
      <c r="H44">
        <v>6.5</v>
      </c>
      <c r="I44">
        <v>8.6999999999999993</v>
      </c>
      <c r="J44">
        <v>12.7</v>
      </c>
    </row>
    <row r="45" spans="1:10" x14ac:dyDescent="0.3">
      <c r="A45" t="s">
        <v>38</v>
      </c>
    </row>
    <row r="46" spans="1:10" x14ac:dyDescent="0.3">
      <c r="A46" t="s">
        <v>36</v>
      </c>
      <c r="D46">
        <v>8.1999999999999993</v>
      </c>
      <c r="E46">
        <v>11.5</v>
      </c>
      <c r="F46">
        <v>6.5</v>
      </c>
      <c r="G46">
        <v>10.7</v>
      </c>
      <c r="H46">
        <v>10.4</v>
      </c>
      <c r="I46">
        <v>13.3</v>
      </c>
      <c r="J46">
        <v>18.8</v>
      </c>
    </row>
    <row r="47" spans="1:10" x14ac:dyDescent="0.3">
      <c r="A47" t="s">
        <v>271</v>
      </c>
      <c r="D47">
        <v>8</v>
      </c>
      <c r="E47">
        <v>10.9</v>
      </c>
      <c r="F47">
        <v>5.4</v>
      </c>
      <c r="G47">
        <v>8.1</v>
      </c>
      <c r="H47">
        <v>7.9</v>
      </c>
      <c r="I47">
        <v>1112</v>
      </c>
      <c r="J47">
        <v>1473</v>
      </c>
    </row>
    <row r="48" spans="1:10" x14ac:dyDescent="0.3">
      <c r="A48" t="s">
        <v>272</v>
      </c>
    </row>
    <row r="49" spans="1:10" x14ac:dyDescent="0.3">
      <c r="A49" t="s">
        <v>244</v>
      </c>
    </row>
    <row r="50" spans="1:10" x14ac:dyDescent="0.3">
      <c r="A50" t="s">
        <v>273</v>
      </c>
      <c r="D50">
        <v>82.2</v>
      </c>
      <c r="E50">
        <v>82.2</v>
      </c>
      <c r="F50">
        <v>82.2</v>
      </c>
      <c r="G50">
        <v>82.2</v>
      </c>
      <c r="H50">
        <v>82.2</v>
      </c>
      <c r="I50">
        <v>89.3</v>
      </c>
      <c r="J50">
        <v>89.3</v>
      </c>
    </row>
    <row r="51" spans="1:10" x14ac:dyDescent="0.3">
      <c r="A51" t="s">
        <v>274</v>
      </c>
      <c r="B51">
        <v>82.2</v>
      </c>
      <c r="C51">
        <v>82.2</v>
      </c>
      <c r="D51">
        <v>73.900000000000006</v>
      </c>
      <c r="E51">
        <v>77.3</v>
      </c>
      <c r="F51">
        <v>82.2</v>
      </c>
      <c r="G51">
        <v>79.900000000000006</v>
      </c>
      <c r="H51">
        <v>78.5</v>
      </c>
      <c r="I51">
        <v>78.5</v>
      </c>
      <c r="J51">
        <v>86.4</v>
      </c>
    </row>
    <row r="52" spans="1:10" x14ac:dyDescent="0.3">
      <c r="A52" t="s">
        <v>275</v>
      </c>
      <c r="B52">
        <v>82.2</v>
      </c>
      <c r="C52">
        <v>82.2</v>
      </c>
      <c r="D52">
        <v>73.900000000000006</v>
      </c>
      <c r="E52">
        <v>78.2</v>
      </c>
      <c r="F52">
        <v>82.2</v>
      </c>
      <c r="G52">
        <v>80.400000000000006</v>
      </c>
      <c r="H52">
        <v>79.900000000000006</v>
      </c>
      <c r="I52">
        <v>80.5</v>
      </c>
      <c r="J52">
        <v>88.9</v>
      </c>
    </row>
    <row r="53" spans="1:10" x14ac:dyDescent="0.3">
      <c r="A53" t="s">
        <v>276</v>
      </c>
    </row>
    <row r="54" spans="1:10" x14ac:dyDescent="0.3">
      <c r="A54" t="s">
        <v>277</v>
      </c>
      <c r="B54">
        <v>0.3</v>
      </c>
      <c r="C54">
        <v>0.4</v>
      </c>
      <c r="D54">
        <v>0.5</v>
      </c>
      <c r="E54">
        <v>0.7</v>
      </c>
      <c r="F54">
        <v>0.8</v>
      </c>
      <c r="G54">
        <v>0.1</v>
      </c>
      <c r="H54">
        <v>0.1</v>
      </c>
      <c r="I54">
        <v>0.1</v>
      </c>
    </row>
    <row r="55" spans="1:10" x14ac:dyDescent="0.3">
      <c r="A55" t="s">
        <v>278</v>
      </c>
      <c r="E55">
        <v>0.1</v>
      </c>
      <c r="F55">
        <v>0.2</v>
      </c>
      <c r="G55">
        <v>0.3</v>
      </c>
      <c r="H55">
        <v>0.3</v>
      </c>
      <c r="I55">
        <v>0.2</v>
      </c>
      <c r="J55">
        <v>0.4</v>
      </c>
    </row>
    <row r="56" spans="1:10" x14ac:dyDescent="0.3">
      <c r="A56" t="s">
        <v>163</v>
      </c>
      <c r="B56">
        <v>-0.3</v>
      </c>
      <c r="C56">
        <v>-0.5</v>
      </c>
      <c r="D56">
        <v>-0.7</v>
      </c>
      <c r="E56">
        <v>-1.2</v>
      </c>
      <c r="F56">
        <v>-0.9</v>
      </c>
      <c r="G56">
        <v>-0.7</v>
      </c>
      <c r="H56">
        <v>-0.6</v>
      </c>
      <c r="I56">
        <v>-2.4</v>
      </c>
      <c r="J56">
        <v>-1.8</v>
      </c>
    </row>
    <row r="57" spans="1:10" x14ac:dyDescent="0.3">
      <c r="A57" t="s">
        <v>279</v>
      </c>
      <c r="B57">
        <v>370</v>
      </c>
      <c r="E57">
        <v>117</v>
      </c>
      <c r="F57">
        <v>116</v>
      </c>
      <c r="G57">
        <v>291</v>
      </c>
      <c r="H57">
        <v>264</v>
      </c>
      <c r="I57">
        <v>323</v>
      </c>
      <c r="J57">
        <v>268</v>
      </c>
    </row>
    <row r="58" spans="1:10" x14ac:dyDescent="0.3">
      <c r="A58" t="s">
        <v>280</v>
      </c>
      <c r="B58">
        <v>1.1000000000000001</v>
      </c>
      <c r="C58">
        <v>18.899999999999999</v>
      </c>
      <c r="D58">
        <v>21.7</v>
      </c>
      <c r="E58">
        <v>24.9</v>
      </c>
      <c r="F58">
        <v>21</v>
      </c>
      <c r="G58">
        <v>21.2</v>
      </c>
      <c r="H58">
        <v>20.9</v>
      </c>
      <c r="I58">
        <v>23.1</v>
      </c>
      <c r="J58">
        <v>19.899999999999999</v>
      </c>
    </row>
    <row r="59" spans="1:10" x14ac:dyDescent="0.3">
      <c r="A59" t="s">
        <v>281</v>
      </c>
      <c r="E59">
        <v>164.3</v>
      </c>
      <c r="F59">
        <v>32</v>
      </c>
      <c r="G59">
        <v>66.099999999999994</v>
      </c>
      <c r="H59">
        <v>63.2</v>
      </c>
      <c r="I59">
        <v>180.4</v>
      </c>
      <c r="J59">
        <v>130.19999999999999</v>
      </c>
    </row>
    <row r="60" spans="1:10" x14ac:dyDescent="0.3">
      <c r="A60" t="s">
        <v>282</v>
      </c>
      <c r="E60">
        <v>170.2</v>
      </c>
      <c r="F60">
        <v>48.2</v>
      </c>
      <c r="G60">
        <v>84</v>
      </c>
      <c r="H60">
        <v>70.400000000000006</v>
      </c>
      <c r="I60">
        <v>201.9</v>
      </c>
      <c r="J60">
        <v>157.19999999999999</v>
      </c>
    </row>
  </sheetData>
  <sheetProtection algorithmName="SHA-512" hashValue="gTUz+CXyzs6xmxjRbjtKnpAcq0CxipPhAMlTQW/f3gmYhNg3kzB5OY7ZcPm2zHxcBsnv80ZmZgG+vPOnwTj50A==" saltValue="U36eBGWi3tATy5Qb6aRrVQ==" spinCount="100000" sheet="1" objects="1" scenarios="1" selectLockedCells="1" selectUn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A7778-2D5D-4FF3-9084-B0EC55CF7892}">
  <sheetPr>
    <tabColor theme="6" tint="0.59999389629810485"/>
  </sheetPr>
  <dimension ref="A2:X6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6" sqref="G16"/>
    </sheetView>
  </sheetViews>
  <sheetFormatPr defaultRowHeight="14.4" x14ac:dyDescent="0.3"/>
  <cols>
    <col min="1" max="1" width="23.6640625" bestFit="1" customWidth="1"/>
    <col min="2" max="24" width="11.109375" bestFit="1" customWidth="1"/>
  </cols>
  <sheetData>
    <row r="2" spans="1:24" x14ac:dyDescent="0.3">
      <c r="A2" t="s">
        <v>138</v>
      </c>
      <c r="B2">
        <v>2014</v>
      </c>
      <c r="C2">
        <v>2015</v>
      </c>
      <c r="D2">
        <v>2016</v>
      </c>
      <c r="E2">
        <v>2017</v>
      </c>
      <c r="F2">
        <v>2018</v>
      </c>
      <c r="G2">
        <v>2019</v>
      </c>
      <c r="H2">
        <v>2020</v>
      </c>
      <c r="I2">
        <v>2021</v>
      </c>
      <c r="J2">
        <v>2022</v>
      </c>
    </row>
    <row r="3" spans="1:24" x14ac:dyDescent="0.3">
      <c r="A3" t="s">
        <v>148</v>
      </c>
      <c r="B3" s="68">
        <v>41759</v>
      </c>
      <c r="C3" s="68">
        <v>42216</v>
      </c>
      <c r="D3" s="68">
        <v>42582</v>
      </c>
      <c r="E3" s="68">
        <v>42947</v>
      </c>
      <c r="F3" s="68">
        <v>43312</v>
      </c>
      <c r="G3" s="68">
        <v>43677</v>
      </c>
      <c r="H3" s="68">
        <v>44043</v>
      </c>
      <c r="I3" s="68">
        <v>44408</v>
      </c>
      <c r="J3" s="68">
        <v>44773</v>
      </c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x14ac:dyDescent="0.3">
      <c r="A4" t="s">
        <v>149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 t="s">
        <v>288</v>
      </c>
      <c r="H4" t="s">
        <v>288</v>
      </c>
      <c r="I4" t="s">
        <v>288</v>
      </c>
      <c r="J4" t="s">
        <v>288</v>
      </c>
    </row>
    <row r="5" spans="1:24" x14ac:dyDescent="0.3">
      <c r="A5" t="s">
        <v>150</v>
      </c>
    </row>
    <row r="6" spans="1:24" x14ac:dyDescent="0.3">
      <c r="A6" t="s">
        <v>198</v>
      </c>
    </row>
    <row r="7" spans="1:24" x14ac:dyDescent="0.3">
      <c r="A7" t="s">
        <v>199</v>
      </c>
      <c r="C7">
        <v>10.1</v>
      </c>
      <c r="D7">
        <v>14.7</v>
      </c>
      <c r="E7">
        <v>10.5</v>
      </c>
      <c r="F7">
        <v>14.7</v>
      </c>
      <c r="G7">
        <v>17.8</v>
      </c>
      <c r="H7">
        <v>18</v>
      </c>
      <c r="I7">
        <v>25.4</v>
      </c>
      <c r="J7">
        <v>30.6</v>
      </c>
    </row>
    <row r="8" spans="1:24" x14ac:dyDescent="0.3">
      <c r="A8" t="s">
        <v>200</v>
      </c>
      <c r="C8">
        <v>1</v>
      </c>
      <c r="D8">
        <v>1.5</v>
      </c>
      <c r="E8">
        <v>1.3</v>
      </c>
      <c r="G8">
        <v>0.8</v>
      </c>
      <c r="H8">
        <v>0.5</v>
      </c>
      <c r="I8">
        <v>1.2</v>
      </c>
      <c r="J8">
        <v>1.6</v>
      </c>
    </row>
    <row r="9" spans="1:24" x14ac:dyDescent="0.3">
      <c r="A9" t="s">
        <v>201</v>
      </c>
    </row>
    <row r="10" spans="1:24" x14ac:dyDescent="0.3">
      <c r="A10" t="s">
        <v>202</v>
      </c>
      <c r="C10">
        <v>11</v>
      </c>
      <c r="D10">
        <v>16.2</v>
      </c>
      <c r="E10">
        <v>11.7</v>
      </c>
      <c r="F10">
        <v>14.7</v>
      </c>
      <c r="G10">
        <v>18.600000000000001</v>
      </c>
      <c r="H10">
        <v>18.5</v>
      </c>
      <c r="I10">
        <v>26.5</v>
      </c>
      <c r="J10">
        <v>32.200000000000003</v>
      </c>
    </row>
    <row r="11" spans="1:24" x14ac:dyDescent="0.3">
      <c r="A11" t="s">
        <v>203</v>
      </c>
    </row>
    <row r="12" spans="1:24" x14ac:dyDescent="0.3">
      <c r="A12" t="s">
        <v>204</v>
      </c>
      <c r="E12">
        <v>0.5</v>
      </c>
      <c r="I12">
        <v>0.1</v>
      </c>
    </row>
    <row r="13" spans="1:24" x14ac:dyDescent="0.3">
      <c r="A13" t="s">
        <v>205</v>
      </c>
      <c r="C13">
        <v>7.7</v>
      </c>
      <c r="D13">
        <v>10.5</v>
      </c>
      <c r="E13">
        <v>11.1</v>
      </c>
      <c r="F13">
        <v>16.5</v>
      </c>
      <c r="G13">
        <v>20.399999999999999</v>
      </c>
      <c r="H13">
        <v>16</v>
      </c>
      <c r="I13">
        <v>21.7</v>
      </c>
      <c r="J13">
        <v>29.2</v>
      </c>
    </row>
    <row r="14" spans="1:24" x14ac:dyDescent="0.3">
      <c r="A14" t="s">
        <v>206</v>
      </c>
    </row>
    <row r="15" spans="1:24" x14ac:dyDescent="0.3">
      <c r="A15" t="s">
        <v>207</v>
      </c>
      <c r="C15">
        <v>0.1</v>
      </c>
      <c r="D15">
        <v>0.1</v>
      </c>
      <c r="E15">
        <v>0.1</v>
      </c>
      <c r="F15">
        <v>0.1</v>
      </c>
      <c r="G15">
        <v>0.1</v>
      </c>
      <c r="H15">
        <v>0.3</v>
      </c>
      <c r="I15">
        <v>0.1</v>
      </c>
      <c r="J15">
        <v>6.2</v>
      </c>
    </row>
    <row r="16" spans="1:24" x14ac:dyDescent="0.3">
      <c r="A16" t="s">
        <v>208</v>
      </c>
      <c r="D16">
        <v>0</v>
      </c>
      <c r="E16">
        <v>0</v>
      </c>
      <c r="F16">
        <v>1</v>
      </c>
      <c r="G16">
        <v>1.3</v>
      </c>
      <c r="H16">
        <v>0.1</v>
      </c>
      <c r="I16">
        <v>0.4</v>
      </c>
      <c r="J16">
        <v>4.0999999999999996</v>
      </c>
    </row>
    <row r="17" spans="1:10" x14ac:dyDescent="0.3">
      <c r="A17" t="s">
        <v>209</v>
      </c>
      <c r="C17">
        <v>18.8</v>
      </c>
      <c r="D17">
        <v>26.9</v>
      </c>
      <c r="E17">
        <v>23.4</v>
      </c>
      <c r="F17">
        <v>32.299999999999997</v>
      </c>
      <c r="G17">
        <v>40.5</v>
      </c>
      <c r="H17">
        <v>34.9</v>
      </c>
      <c r="I17">
        <v>48.8</v>
      </c>
      <c r="J17">
        <v>71.7</v>
      </c>
    </row>
    <row r="18" spans="1:10" x14ac:dyDescent="0.3">
      <c r="A18" t="s">
        <v>210</v>
      </c>
      <c r="I18">
        <v>9.6999999999999993</v>
      </c>
      <c r="J18">
        <v>9.8000000000000007</v>
      </c>
    </row>
    <row r="19" spans="1:10" x14ac:dyDescent="0.3">
      <c r="A19" t="s">
        <v>211</v>
      </c>
      <c r="F19">
        <v>0.1</v>
      </c>
      <c r="G19">
        <v>0.1</v>
      </c>
      <c r="H19">
        <v>0.1</v>
      </c>
      <c r="I19">
        <v>27.3</v>
      </c>
      <c r="J19">
        <v>27.2</v>
      </c>
    </row>
    <row r="20" spans="1:10" x14ac:dyDescent="0.3">
      <c r="A20" t="s">
        <v>212</v>
      </c>
      <c r="F20">
        <v>0.1</v>
      </c>
      <c r="G20">
        <v>0.1</v>
      </c>
      <c r="H20">
        <v>0.1</v>
      </c>
      <c r="I20">
        <v>36.9</v>
      </c>
      <c r="J20">
        <v>37</v>
      </c>
    </row>
    <row r="21" spans="1:10" x14ac:dyDescent="0.3">
      <c r="A21" t="s">
        <v>213</v>
      </c>
      <c r="C21">
        <v>0.6</v>
      </c>
      <c r="D21">
        <v>1</v>
      </c>
      <c r="E21">
        <v>1.7</v>
      </c>
      <c r="F21">
        <v>5.0999999999999996</v>
      </c>
      <c r="G21">
        <v>5</v>
      </c>
      <c r="H21">
        <v>5.0999999999999996</v>
      </c>
      <c r="I21">
        <v>5.7</v>
      </c>
      <c r="J21">
        <v>6.4</v>
      </c>
    </row>
    <row r="22" spans="1:10" x14ac:dyDescent="0.3">
      <c r="A22" t="s">
        <v>214</v>
      </c>
    </row>
    <row r="23" spans="1:10" x14ac:dyDescent="0.3">
      <c r="A23" t="s">
        <v>215</v>
      </c>
      <c r="C23">
        <v>0.3</v>
      </c>
      <c r="D23">
        <v>0.2</v>
      </c>
      <c r="E23">
        <v>0.2</v>
      </c>
      <c r="F23">
        <v>0.2</v>
      </c>
      <c r="G23">
        <v>0.1</v>
      </c>
      <c r="H23">
        <v>0.1</v>
      </c>
    </row>
    <row r="24" spans="1:10" x14ac:dyDescent="0.3">
      <c r="A24" t="s">
        <v>216</v>
      </c>
      <c r="C24">
        <v>0.8</v>
      </c>
      <c r="D24">
        <v>1.2</v>
      </c>
      <c r="E24">
        <v>1.9</v>
      </c>
      <c r="F24">
        <v>5.3</v>
      </c>
      <c r="G24">
        <v>5.2</v>
      </c>
      <c r="H24">
        <v>5.3</v>
      </c>
      <c r="I24">
        <v>42.6</v>
      </c>
      <c r="J24">
        <v>43.4</v>
      </c>
    </row>
    <row r="25" spans="1:10" x14ac:dyDescent="0.3">
      <c r="A25" t="s">
        <v>17</v>
      </c>
      <c r="C25">
        <v>19.7</v>
      </c>
      <c r="D25">
        <v>28.1</v>
      </c>
      <c r="E25">
        <v>25.3</v>
      </c>
      <c r="F25">
        <v>37.6</v>
      </c>
      <c r="G25">
        <v>45.7</v>
      </c>
      <c r="H25">
        <v>40.200000000000003</v>
      </c>
      <c r="I25">
        <v>91.4</v>
      </c>
      <c r="J25">
        <v>115.1</v>
      </c>
    </row>
    <row r="26" spans="1:10" x14ac:dyDescent="0.3">
      <c r="A26" t="s">
        <v>217</v>
      </c>
    </row>
    <row r="27" spans="1:10" x14ac:dyDescent="0.3">
      <c r="A27" t="s">
        <v>218</v>
      </c>
      <c r="C27">
        <v>3.1</v>
      </c>
      <c r="D27">
        <v>7.1</v>
      </c>
      <c r="E27">
        <v>1.5</v>
      </c>
      <c r="F27">
        <v>11.8</v>
      </c>
      <c r="G27">
        <v>15.4</v>
      </c>
      <c r="H27">
        <v>4.5999999999999996</v>
      </c>
      <c r="I27">
        <v>8.6999999999999993</v>
      </c>
      <c r="J27">
        <v>23.1</v>
      </c>
    </row>
    <row r="28" spans="1:10" x14ac:dyDescent="0.3">
      <c r="A28" t="s">
        <v>219</v>
      </c>
      <c r="C28">
        <v>3.2</v>
      </c>
      <c r="D28">
        <v>7.4</v>
      </c>
      <c r="E28">
        <v>5.8</v>
      </c>
      <c r="F28">
        <v>12.3</v>
      </c>
      <c r="G28">
        <v>9.1999999999999993</v>
      </c>
      <c r="H28">
        <v>10.8</v>
      </c>
      <c r="I28">
        <v>19.3</v>
      </c>
      <c r="J28">
        <v>20.7</v>
      </c>
    </row>
    <row r="29" spans="1:10" x14ac:dyDescent="0.3">
      <c r="A29" t="s">
        <v>296</v>
      </c>
      <c r="C29">
        <v>6.8</v>
      </c>
      <c r="D29">
        <v>5.7</v>
      </c>
      <c r="E29">
        <v>6</v>
      </c>
      <c r="G29">
        <v>5.8</v>
      </c>
      <c r="H29">
        <v>6.3</v>
      </c>
      <c r="I29">
        <v>8.6</v>
      </c>
      <c r="J29">
        <v>7.4</v>
      </c>
    </row>
    <row r="30" spans="1:10" x14ac:dyDescent="0.3">
      <c r="A30" t="s">
        <v>40</v>
      </c>
      <c r="C30">
        <v>1.1000000000000001</v>
      </c>
      <c r="D30">
        <v>1.5</v>
      </c>
      <c r="E30">
        <v>0.5</v>
      </c>
      <c r="F30">
        <v>0.4</v>
      </c>
      <c r="G30">
        <v>1.1000000000000001</v>
      </c>
      <c r="H30">
        <v>0.8</v>
      </c>
      <c r="I30">
        <v>1.5</v>
      </c>
      <c r="J30">
        <v>1.7</v>
      </c>
    </row>
    <row r="31" spans="1:10" x14ac:dyDescent="0.3">
      <c r="A31" t="s">
        <v>220</v>
      </c>
      <c r="C31">
        <v>0</v>
      </c>
      <c r="D31">
        <v>2.2999999999999998</v>
      </c>
      <c r="E31">
        <v>0.2</v>
      </c>
      <c r="G31">
        <v>0.1</v>
      </c>
      <c r="H31">
        <v>1.3</v>
      </c>
      <c r="I31">
        <v>1.2</v>
      </c>
      <c r="J31">
        <v>1</v>
      </c>
    </row>
    <row r="32" spans="1:10" x14ac:dyDescent="0.3">
      <c r="A32" t="s">
        <v>221</v>
      </c>
      <c r="C32">
        <v>14.2</v>
      </c>
      <c r="D32">
        <v>24</v>
      </c>
      <c r="E32">
        <v>14</v>
      </c>
      <c r="F32">
        <v>24.5</v>
      </c>
      <c r="G32">
        <v>31.5</v>
      </c>
      <c r="H32">
        <v>23.8</v>
      </c>
      <c r="I32">
        <v>39.4</v>
      </c>
      <c r="J32">
        <v>53.9</v>
      </c>
    </row>
    <row r="33" spans="1:10" x14ac:dyDescent="0.3">
      <c r="A33" t="s">
        <v>222</v>
      </c>
      <c r="C33">
        <v>2.5</v>
      </c>
      <c r="D33">
        <v>2.9</v>
      </c>
      <c r="E33">
        <v>4.4000000000000004</v>
      </c>
      <c r="F33">
        <v>4.5</v>
      </c>
      <c r="G33">
        <v>2.7</v>
      </c>
      <c r="H33">
        <v>2.9</v>
      </c>
      <c r="I33">
        <v>12.9</v>
      </c>
      <c r="J33">
        <v>10.1</v>
      </c>
    </row>
    <row r="34" spans="1:10" x14ac:dyDescent="0.3">
      <c r="A34" t="s">
        <v>153</v>
      </c>
      <c r="I34">
        <v>6.1</v>
      </c>
      <c r="J34">
        <v>7.6</v>
      </c>
    </row>
    <row r="35" spans="1:10" x14ac:dyDescent="0.3">
      <c r="A35" t="s">
        <v>223</v>
      </c>
    </row>
    <row r="36" spans="1:10" x14ac:dyDescent="0.3">
      <c r="A36" t="s">
        <v>224</v>
      </c>
    </row>
    <row r="37" spans="1:10" x14ac:dyDescent="0.3">
      <c r="A37" t="s">
        <v>225</v>
      </c>
      <c r="I37">
        <v>1</v>
      </c>
    </row>
    <row r="38" spans="1:10" x14ac:dyDescent="0.3">
      <c r="A38" t="s">
        <v>226</v>
      </c>
      <c r="C38">
        <v>2.5</v>
      </c>
      <c r="D38">
        <v>2.9</v>
      </c>
      <c r="E38">
        <v>4.4000000000000004</v>
      </c>
      <c r="F38">
        <v>4.5</v>
      </c>
      <c r="G38">
        <v>2.7</v>
      </c>
      <c r="H38">
        <v>2.9</v>
      </c>
      <c r="I38">
        <v>20</v>
      </c>
      <c r="J38">
        <v>17.7</v>
      </c>
    </row>
    <row r="39" spans="1:10" x14ac:dyDescent="0.3">
      <c r="A39" t="s">
        <v>18</v>
      </c>
      <c r="C39">
        <v>16.7</v>
      </c>
      <c r="D39">
        <v>26.9</v>
      </c>
      <c r="E39">
        <v>18.5</v>
      </c>
      <c r="F39">
        <v>29</v>
      </c>
      <c r="G39">
        <v>34.200000000000003</v>
      </c>
      <c r="H39">
        <v>26.7</v>
      </c>
      <c r="I39">
        <v>59.4</v>
      </c>
      <c r="J39">
        <v>71.599999999999994</v>
      </c>
    </row>
    <row r="40" spans="1:10" x14ac:dyDescent="0.3">
      <c r="A40" t="s">
        <v>227</v>
      </c>
    </row>
    <row r="41" spans="1:10" x14ac:dyDescent="0.3">
      <c r="A41" t="s">
        <v>228</v>
      </c>
      <c r="C41">
        <v>0.2</v>
      </c>
      <c r="D41">
        <v>0.2</v>
      </c>
      <c r="E41">
        <v>0.2</v>
      </c>
      <c r="F41">
        <v>0.2</v>
      </c>
      <c r="G41">
        <v>0.2</v>
      </c>
      <c r="H41">
        <v>0.2</v>
      </c>
      <c r="I41">
        <v>0.2</v>
      </c>
      <c r="J41">
        <v>0.2</v>
      </c>
    </row>
    <row r="42" spans="1:10" x14ac:dyDescent="0.3">
      <c r="A42" t="s">
        <v>229</v>
      </c>
    </row>
    <row r="43" spans="1:10" x14ac:dyDescent="0.3">
      <c r="A43" t="s">
        <v>230</v>
      </c>
      <c r="C43">
        <v>0.2</v>
      </c>
      <c r="D43">
        <v>0.2</v>
      </c>
      <c r="E43">
        <v>0.2</v>
      </c>
      <c r="F43">
        <v>0.2</v>
      </c>
      <c r="G43">
        <v>0.2</v>
      </c>
      <c r="H43">
        <v>0.2</v>
      </c>
      <c r="I43">
        <v>0.2</v>
      </c>
      <c r="J43">
        <v>0.2</v>
      </c>
    </row>
    <row r="44" spans="1:10" x14ac:dyDescent="0.3">
      <c r="A44" t="s">
        <v>231</v>
      </c>
      <c r="C44">
        <v>12.3</v>
      </c>
      <c r="D44">
        <v>0</v>
      </c>
      <c r="E44">
        <v>0</v>
      </c>
      <c r="F44">
        <v>0</v>
      </c>
      <c r="G44">
        <v>0</v>
      </c>
      <c r="H44">
        <v>0</v>
      </c>
      <c r="I44">
        <v>14.3</v>
      </c>
      <c r="J44">
        <v>14.3</v>
      </c>
    </row>
    <row r="45" spans="1:10" x14ac:dyDescent="0.3">
      <c r="A45" t="s">
        <v>232</v>
      </c>
    </row>
    <row r="46" spans="1:10" x14ac:dyDescent="0.3">
      <c r="A46" t="s">
        <v>233</v>
      </c>
      <c r="C46">
        <v>-14.4</v>
      </c>
      <c r="D46">
        <v>0.6</v>
      </c>
      <c r="E46">
        <v>6.8</v>
      </c>
      <c r="F46">
        <v>7.2</v>
      </c>
      <c r="G46">
        <v>11.2</v>
      </c>
      <c r="H46">
        <v>15.5</v>
      </c>
      <c r="I46">
        <v>18.8</v>
      </c>
      <c r="J46">
        <v>26.1</v>
      </c>
    </row>
    <row r="47" spans="1:10" x14ac:dyDescent="0.3">
      <c r="A47" t="s">
        <v>234</v>
      </c>
      <c r="C47">
        <v>4.9000000000000004</v>
      </c>
      <c r="D47">
        <v>0.4</v>
      </c>
      <c r="E47">
        <v>-0.2</v>
      </c>
      <c r="F47">
        <v>1.1000000000000001</v>
      </c>
      <c r="G47">
        <v>0.1</v>
      </c>
      <c r="H47">
        <v>-2.2999999999999998</v>
      </c>
      <c r="I47">
        <v>-1.3</v>
      </c>
      <c r="J47">
        <v>2.8</v>
      </c>
    </row>
    <row r="48" spans="1:10" x14ac:dyDescent="0.3">
      <c r="A48" t="s">
        <v>235</v>
      </c>
      <c r="C48">
        <v>3</v>
      </c>
      <c r="D48">
        <v>1.2</v>
      </c>
      <c r="E48">
        <v>6.8</v>
      </c>
      <c r="F48">
        <v>8.6</v>
      </c>
      <c r="G48">
        <v>11.6</v>
      </c>
      <c r="H48">
        <v>13.4</v>
      </c>
      <c r="I48">
        <v>32.1</v>
      </c>
      <c r="J48">
        <v>43.5</v>
      </c>
    </row>
    <row r="49" spans="1:10" x14ac:dyDescent="0.3">
      <c r="A49" t="s">
        <v>236</v>
      </c>
    </row>
    <row r="50" spans="1:10" x14ac:dyDescent="0.3">
      <c r="A50" t="s">
        <v>23</v>
      </c>
      <c r="C50">
        <v>3</v>
      </c>
      <c r="D50">
        <v>1.2</v>
      </c>
      <c r="E50">
        <v>6.8</v>
      </c>
      <c r="F50">
        <v>8.6</v>
      </c>
      <c r="G50">
        <v>11.6</v>
      </c>
      <c r="H50">
        <v>13.4</v>
      </c>
      <c r="I50">
        <v>32.1</v>
      </c>
      <c r="J50">
        <v>43.5</v>
      </c>
    </row>
    <row r="51" spans="1:10" x14ac:dyDescent="0.3">
      <c r="A51" t="s">
        <v>237</v>
      </c>
      <c r="C51">
        <v>19.7</v>
      </c>
      <c r="D51">
        <v>28.1</v>
      </c>
      <c r="E51">
        <v>25.3</v>
      </c>
      <c r="F51">
        <v>37.6</v>
      </c>
      <c r="G51">
        <v>45.7</v>
      </c>
      <c r="H51">
        <v>40.200000000000003</v>
      </c>
      <c r="I51">
        <v>91.4</v>
      </c>
      <c r="J51">
        <v>115.1</v>
      </c>
    </row>
    <row r="52" spans="1:10" x14ac:dyDescent="0.3">
      <c r="A52" t="s">
        <v>238</v>
      </c>
    </row>
    <row r="53" spans="1:10" x14ac:dyDescent="0.3">
      <c r="A53" t="s">
        <v>239</v>
      </c>
      <c r="F53">
        <v>2.6</v>
      </c>
      <c r="G53">
        <v>2.7</v>
      </c>
      <c r="H53">
        <v>2.8</v>
      </c>
      <c r="I53">
        <v>2</v>
      </c>
      <c r="J53">
        <v>1.9</v>
      </c>
    </row>
    <row r="54" spans="1:10" x14ac:dyDescent="0.3">
      <c r="A54" t="s">
        <v>240</v>
      </c>
      <c r="C54">
        <v>2.5</v>
      </c>
      <c r="D54">
        <v>2.9</v>
      </c>
      <c r="E54">
        <v>4.4000000000000004</v>
      </c>
      <c r="F54">
        <v>4.5</v>
      </c>
      <c r="G54">
        <v>2.7</v>
      </c>
      <c r="H54">
        <v>2.9</v>
      </c>
      <c r="I54">
        <v>12.9</v>
      </c>
      <c r="J54">
        <v>10.1</v>
      </c>
    </row>
    <row r="55" spans="1:10" x14ac:dyDescent="0.3">
      <c r="A55" t="s">
        <v>241</v>
      </c>
      <c r="F55">
        <v>0.8</v>
      </c>
      <c r="G55">
        <v>0.8</v>
      </c>
      <c r="H55">
        <v>0.7</v>
      </c>
      <c r="I55">
        <v>0.8</v>
      </c>
      <c r="J55">
        <v>0.8</v>
      </c>
    </row>
    <row r="56" spans="1:10" x14ac:dyDescent="0.3">
      <c r="A56" t="s">
        <v>242</v>
      </c>
      <c r="C56">
        <v>3.1</v>
      </c>
      <c r="D56">
        <v>7.1</v>
      </c>
      <c r="E56">
        <v>1.5</v>
      </c>
      <c r="F56">
        <v>11.8</v>
      </c>
      <c r="G56">
        <v>15.4</v>
      </c>
      <c r="H56">
        <v>4.5999999999999996</v>
      </c>
      <c r="I56">
        <v>8.6999999999999993</v>
      </c>
      <c r="J56">
        <v>23.1</v>
      </c>
    </row>
    <row r="57" spans="1:10" x14ac:dyDescent="0.3">
      <c r="A57" t="s">
        <v>243</v>
      </c>
      <c r="C57">
        <v>5.6</v>
      </c>
      <c r="D57">
        <v>10</v>
      </c>
      <c r="E57">
        <v>5.9</v>
      </c>
      <c r="F57">
        <v>16.3</v>
      </c>
      <c r="G57">
        <v>18</v>
      </c>
      <c r="H57">
        <v>7.5</v>
      </c>
      <c r="I57">
        <v>21.6</v>
      </c>
      <c r="J57">
        <v>33.200000000000003</v>
      </c>
    </row>
    <row r="58" spans="1:10" x14ac:dyDescent="0.3">
      <c r="A58" t="s">
        <v>207</v>
      </c>
      <c r="C58">
        <v>0.1</v>
      </c>
      <c r="D58">
        <v>0.1</v>
      </c>
      <c r="E58">
        <v>0.1</v>
      </c>
      <c r="F58">
        <v>0.1</v>
      </c>
      <c r="G58">
        <v>0.1</v>
      </c>
      <c r="H58">
        <v>0.3</v>
      </c>
      <c r="I58">
        <v>0.1</v>
      </c>
      <c r="J58">
        <v>6.2</v>
      </c>
    </row>
    <row r="59" spans="1:10" x14ac:dyDescent="0.3">
      <c r="A59" t="s">
        <v>145</v>
      </c>
      <c r="C59">
        <v>5.5</v>
      </c>
      <c r="D59">
        <v>9.9</v>
      </c>
      <c r="E59">
        <v>5.9</v>
      </c>
      <c r="F59">
        <v>16.2</v>
      </c>
      <c r="G59">
        <v>17.899999999999999</v>
      </c>
      <c r="H59">
        <v>7.2</v>
      </c>
      <c r="I59">
        <v>21.5</v>
      </c>
      <c r="J59">
        <v>27</v>
      </c>
    </row>
    <row r="60" spans="1:10" x14ac:dyDescent="0.3">
      <c r="A60" t="s">
        <v>244</v>
      </c>
    </row>
    <row r="61" spans="1:10" x14ac:dyDescent="0.3">
      <c r="A61" t="s">
        <v>146</v>
      </c>
      <c r="C61">
        <v>3</v>
      </c>
      <c r="D61">
        <v>1.2</v>
      </c>
      <c r="E61">
        <v>6.8</v>
      </c>
      <c r="F61">
        <v>8.6</v>
      </c>
      <c r="G61">
        <v>11.6</v>
      </c>
      <c r="H61">
        <v>13.4</v>
      </c>
      <c r="I61">
        <v>32.1</v>
      </c>
      <c r="J61">
        <v>43.5</v>
      </c>
    </row>
    <row r="62" spans="1:10" x14ac:dyDescent="0.3">
      <c r="A62" t="s">
        <v>245</v>
      </c>
      <c r="C62">
        <v>3</v>
      </c>
      <c r="D62">
        <v>1.2</v>
      </c>
      <c r="E62">
        <v>6.8</v>
      </c>
      <c r="F62">
        <v>8.5</v>
      </c>
      <c r="G62">
        <v>11.5</v>
      </c>
      <c r="H62">
        <v>13.3</v>
      </c>
      <c r="I62">
        <v>-4.9000000000000004</v>
      </c>
      <c r="J62">
        <v>6.5</v>
      </c>
    </row>
    <row r="63" spans="1:10" x14ac:dyDescent="0.3">
      <c r="A63" t="s">
        <v>246</v>
      </c>
      <c r="C63" t="s">
        <v>297</v>
      </c>
      <c r="D63">
        <v>1.5</v>
      </c>
      <c r="E63">
        <v>8.3000000000000007</v>
      </c>
      <c r="F63">
        <v>10.4</v>
      </c>
      <c r="G63">
        <v>14.1</v>
      </c>
      <c r="H63">
        <v>16.3</v>
      </c>
      <c r="I63">
        <v>35.9</v>
      </c>
      <c r="J63">
        <v>48.7</v>
      </c>
    </row>
    <row r="64" spans="1:10" x14ac:dyDescent="0.3">
      <c r="A64" t="s">
        <v>247</v>
      </c>
      <c r="C64" t="s">
        <v>297</v>
      </c>
      <c r="D64">
        <v>1.5</v>
      </c>
      <c r="E64">
        <v>8.3000000000000007</v>
      </c>
      <c r="F64">
        <v>10.3</v>
      </c>
      <c r="G64">
        <v>13.9</v>
      </c>
      <c r="H64">
        <v>16.2</v>
      </c>
      <c r="I64">
        <v>-5.5</v>
      </c>
      <c r="J64">
        <v>7.2</v>
      </c>
    </row>
    <row r="65" spans="1:10" x14ac:dyDescent="0.3">
      <c r="A65" t="s">
        <v>248</v>
      </c>
    </row>
    <row r="66" spans="1:10" x14ac:dyDescent="0.3">
      <c r="A66" t="s">
        <v>249</v>
      </c>
      <c r="C66">
        <v>4.7</v>
      </c>
      <c r="D66">
        <v>2.9</v>
      </c>
      <c r="E66">
        <v>9.3000000000000007</v>
      </c>
      <c r="F66">
        <v>7.7</v>
      </c>
      <c r="G66">
        <v>9</v>
      </c>
      <c r="H66">
        <v>11.1</v>
      </c>
      <c r="I66">
        <v>9.4</v>
      </c>
      <c r="J66">
        <v>17.8</v>
      </c>
    </row>
    <row r="67" spans="1:10" x14ac:dyDescent="0.3">
      <c r="A67" t="s">
        <v>250</v>
      </c>
    </row>
  </sheetData>
  <sheetProtection algorithmName="SHA-512" hashValue="CjMjvuJjTFz3b2JUo28qbZllrxFr+8AUiWA9UWWWGpb0MHT/PPQGOlBvnvjACcYisDL737j/GDoNm9kH9TrN/Q==" saltValue="X2VAr0bh5DwRjoL7HjNqd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summary</vt:lpstr>
      <vt:lpstr>WACC</vt:lpstr>
      <vt:lpstr>detailed-financials</vt:lpstr>
      <vt:lpstr>checks</vt:lpstr>
      <vt:lpstr>sources&gt;&gt;&gt;</vt:lpstr>
      <vt:lpstr>forecasts</vt:lpstr>
      <vt:lpstr>p&amp;l</vt:lpstr>
      <vt:lpstr>bs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2022-10-29T12:00:07Z</dcterms:created>
  <dcterms:modified xsi:type="dcterms:W3CDTF">2023-04-19T16:02:34Z</dcterms:modified>
</cp:coreProperties>
</file>