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Moss\Documents\Tim M\PF\ANX\"/>
    </mc:Choice>
  </mc:AlternateContent>
  <xr:revisionPtr revIDLastSave="0" documentId="13_ncr:1_{3AC52CE1-CBC8-4496-86D7-D46E78595D6C}" xr6:coauthVersionLast="47" xr6:coauthVersionMax="47" xr10:uidLastSave="{00000000-0000-0000-0000-000000000000}"/>
  <workbookProtection workbookAlgorithmName="SHA-512" workbookHashValue="gPr4IKa9eD8idr457yN5zOjkkzMa9x+Fxy+FOIlBAE6CtEycIeMzrMcGMOmxD8t9HYRICmqoO1/bxzSXHwynjA==" workbookSaltValue="7phx3zKtvDd5pMpU1/J0iw==" workbookSpinCount="100000" lockStructure="1"/>
  <bookViews>
    <workbookView xWindow="-108" yWindow="-108" windowWidth="23256" windowHeight="12456" firstSheet="1" activeTab="1" xr2:uid="{4464965C-57E2-470B-B959-64ECF7EB36CC}"/>
  </bookViews>
  <sheets>
    <sheet name="cover" sheetId="1" state="hidden" r:id="rId1"/>
    <sheet name="summary" sheetId="11" r:id="rId2"/>
    <sheet name="WACC" sheetId="12" r:id="rId3"/>
    <sheet name="detailed-financials" sheetId="4" r:id="rId4"/>
    <sheet name="checks" sheetId="6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1" l="1"/>
  <c r="L36" i="11"/>
  <c r="M36" i="11" s="1"/>
  <c r="N36" i="11" s="1"/>
  <c r="O36" i="11" s="1"/>
  <c r="P36" i="11" s="1"/>
  <c r="Q36" i="11" s="1"/>
  <c r="R36" i="11" s="1"/>
  <c r="I77" i="4"/>
  <c r="H77" i="4"/>
  <c r="H36" i="11" s="1"/>
  <c r="H82" i="4"/>
  <c r="I82" i="4"/>
  <c r="K82" i="4"/>
  <c r="J82" i="4"/>
  <c r="K77" i="4"/>
  <c r="J77" i="4"/>
  <c r="J36" i="11"/>
  <c r="K37" i="11"/>
  <c r="J37" i="11"/>
  <c r="I37" i="11"/>
  <c r="H37" i="11"/>
  <c r="G37" i="11"/>
  <c r="F37" i="11"/>
  <c r="E37" i="11"/>
  <c r="E62" i="11"/>
  <c r="K36" i="11"/>
  <c r="K73" i="4"/>
  <c r="K71" i="4"/>
  <c r="K69" i="4"/>
  <c r="K31" i="4"/>
  <c r="K25" i="4"/>
  <c r="K22" i="4"/>
  <c r="K17" i="4"/>
  <c r="K18" i="4"/>
  <c r="K54" i="4"/>
  <c r="K47" i="4"/>
  <c r="K26" i="11" s="1"/>
  <c r="L26" i="11" s="1"/>
  <c r="K49" i="4"/>
  <c r="B60" i="11"/>
  <c r="D11" i="11"/>
  <c r="D85" i="11" s="1"/>
  <c r="D12" i="11"/>
  <c r="H82" i="11"/>
  <c r="I17" i="12"/>
  <c r="I16" i="12"/>
  <c r="I15" i="12"/>
  <c r="I12" i="12"/>
  <c r="I10" i="12"/>
  <c r="K51" i="11"/>
  <c r="F51" i="11"/>
  <c r="G51" i="11"/>
  <c r="H51" i="11"/>
  <c r="I51" i="11"/>
  <c r="J51" i="11"/>
  <c r="F41" i="11"/>
  <c r="G41" i="11"/>
  <c r="H41" i="11"/>
  <c r="I41" i="11"/>
  <c r="J41" i="11"/>
  <c r="K41" i="11"/>
  <c r="E41" i="11"/>
  <c r="E20" i="11"/>
  <c r="E19" i="11"/>
  <c r="G36" i="11"/>
  <c r="F36" i="11"/>
  <c r="E36" i="11"/>
  <c r="E32" i="11"/>
  <c r="E31" i="11"/>
  <c r="F30" i="11"/>
  <c r="E30" i="11"/>
  <c r="I26" i="11"/>
  <c r="H26" i="11"/>
  <c r="G26" i="11"/>
  <c r="F26" i="11"/>
  <c r="E26" i="11"/>
  <c r="F6" i="4"/>
  <c r="F7" i="4" s="1"/>
  <c r="F31" i="11" s="1"/>
  <c r="F19" i="11" l="1"/>
  <c r="F20" i="11"/>
  <c r="F24" i="11"/>
  <c r="F27" i="11"/>
  <c r="F32" i="11"/>
  <c r="F52" i="11"/>
  <c r="G6" i="4"/>
  <c r="G19" i="11" s="1"/>
  <c r="L86" i="4"/>
  <c r="L72" i="4"/>
  <c r="L52" i="4" s="1"/>
  <c r="L36" i="4"/>
  <c r="L33" i="4"/>
  <c r="L26" i="4"/>
  <c r="L24" i="4"/>
  <c r="L23" i="4"/>
  <c r="L19" i="4"/>
  <c r="L17" i="4"/>
  <c r="L16" i="4"/>
  <c r="L15" i="4"/>
  <c r="J90" i="4"/>
  <c r="E63" i="11" l="1"/>
  <c r="F62" i="11"/>
  <c r="E60" i="11"/>
  <c r="G7" i="4"/>
  <c r="H6" i="4"/>
  <c r="H19" i="11" s="1"/>
  <c r="J69" i="4"/>
  <c r="J71" i="4"/>
  <c r="G32" i="11" l="1"/>
  <c r="G27" i="11"/>
  <c r="G24" i="11"/>
  <c r="G30" i="11"/>
  <c r="G20" i="11"/>
  <c r="G52" i="11" s="1"/>
  <c r="G31" i="11"/>
  <c r="F60" i="11"/>
  <c r="F63" i="11"/>
  <c r="G62" i="11"/>
  <c r="I6" i="4"/>
  <c r="I19" i="11" s="1"/>
  <c r="H7" i="4"/>
  <c r="K70" i="4"/>
  <c r="J47" i="4"/>
  <c r="J26" i="11" s="1"/>
  <c r="M26" i="11" s="1"/>
  <c r="N26" i="11" s="1"/>
  <c r="O26" i="11" s="1"/>
  <c r="P26" i="11" s="1"/>
  <c r="Q26" i="11" s="1"/>
  <c r="R26" i="11" s="1"/>
  <c r="J49" i="4"/>
  <c r="H20" i="11" l="1"/>
  <c r="H52" i="11" s="1"/>
  <c r="H32" i="11"/>
  <c r="H27" i="11"/>
  <c r="H24" i="11"/>
  <c r="H30" i="11"/>
  <c r="H31" i="11"/>
  <c r="G63" i="11"/>
  <c r="G60" i="11"/>
  <c r="H62" i="11"/>
  <c r="J70" i="4"/>
  <c r="J6" i="4"/>
  <c r="I7" i="4"/>
  <c r="L31" i="4"/>
  <c r="J31" i="4"/>
  <c r="J22" i="4"/>
  <c r="J26" i="4"/>
  <c r="J25" i="4"/>
  <c r="E87" i="4"/>
  <c r="I81" i="4"/>
  <c r="H81" i="4"/>
  <c r="G81" i="4"/>
  <c r="F81" i="4"/>
  <c r="F88" i="4" s="1"/>
  <c r="E81" i="4"/>
  <c r="E90" i="4"/>
  <c r="F90" i="4"/>
  <c r="I36" i="11"/>
  <c r="F71" i="4"/>
  <c r="G71" i="4"/>
  <c r="H71" i="4"/>
  <c r="I71" i="4"/>
  <c r="E71" i="4"/>
  <c r="I25" i="4"/>
  <c r="H25" i="4"/>
  <c r="G25" i="4"/>
  <c r="F25" i="4"/>
  <c r="E25" i="4"/>
  <c r="F80" i="4"/>
  <c r="F70" i="4"/>
  <c r="F45" i="4"/>
  <c r="F34" i="4"/>
  <c r="F37" i="4" s="1"/>
  <c r="F20" i="4"/>
  <c r="I80" i="4"/>
  <c r="I70" i="4"/>
  <c r="H70" i="4"/>
  <c r="I45" i="4"/>
  <c r="H45" i="4"/>
  <c r="H34" i="4"/>
  <c r="H37" i="4" s="1"/>
  <c r="H20" i="4"/>
  <c r="F42" i="11" l="1"/>
  <c r="F43" i="11" s="1"/>
  <c r="F25" i="11"/>
  <c r="H42" i="11"/>
  <c r="H43" i="11" s="1"/>
  <c r="H25" i="11"/>
  <c r="J19" i="11"/>
  <c r="K6" i="4"/>
  <c r="I25" i="11"/>
  <c r="I42" i="11"/>
  <c r="I43" i="11" s="1"/>
  <c r="I24" i="11"/>
  <c r="I32" i="11"/>
  <c r="I27" i="11"/>
  <c r="I20" i="11"/>
  <c r="I52" i="11" s="1"/>
  <c r="I30" i="11"/>
  <c r="I31" i="11"/>
  <c r="H28" i="11"/>
  <c r="H27" i="4"/>
  <c r="H29" i="4" s="1"/>
  <c r="H39" i="4" s="1"/>
  <c r="I28" i="11"/>
  <c r="F27" i="4"/>
  <c r="F29" i="4" s="1"/>
  <c r="F39" i="4" s="1"/>
  <c r="F33" i="11"/>
  <c r="G28" i="11"/>
  <c r="F28" i="11"/>
  <c r="H63" i="11"/>
  <c r="H60" i="11"/>
  <c r="I62" i="11"/>
  <c r="J62" i="11" s="1"/>
  <c r="J7" i="4"/>
  <c r="J28" i="11" s="1"/>
  <c r="L77" i="4"/>
  <c r="F48" i="4"/>
  <c r="F44" i="11" s="1"/>
  <c r="F45" i="11" s="1"/>
  <c r="I34" i="4"/>
  <c r="I37" i="4" s="1"/>
  <c r="I20" i="4"/>
  <c r="H48" i="4"/>
  <c r="H33" i="11" s="1"/>
  <c r="I27" i="4"/>
  <c r="H80" i="4"/>
  <c r="I48" i="4"/>
  <c r="I33" i="11" s="1"/>
  <c r="H88" i="4"/>
  <c r="I88" i="4"/>
  <c r="L6" i="4" l="1"/>
  <c r="K19" i="11"/>
  <c r="I50" i="4"/>
  <c r="I44" i="11"/>
  <c r="I45" i="11" s="1"/>
  <c r="J20" i="11"/>
  <c r="J52" i="11" s="1"/>
  <c r="J30" i="11"/>
  <c r="J24" i="11"/>
  <c r="J31" i="11"/>
  <c r="J27" i="11"/>
  <c r="J32" i="11"/>
  <c r="H50" i="4"/>
  <c r="H44" i="11"/>
  <c r="H45" i="11" s="1"/>
  <c r="J60" i="11"/>
  <c r="K62" i="11"/>
  <c r="L62" i="11" s="1"/>
  <c r="J63" i="11"/>
  <c r="I60" i="11"/>
  <c r="I63" i="11"/>
  <c r="L80" i="4"/>
  <c r="K7" i="4"/>
  <c r="I29" i="4"/>
  <c r="I39" i="4" s="1"/>
  <c r="F50" i="4"/>
  <c r="I53" i="4"/>
  <c r="I29" i="11" s="1"/>
  <c r="H68" i="4"/>
  <c r="H74" i="4" s="1"/>
  <c r="H91" i="4" s="1"/>
  <c r="H53" i="4"/>
  <c r="H29" i="11" s="1"/>
  <c r="F46" i="11" l="1"/>
  <c r="F47" i="11" s="1"/>
  <c r="H46" i="11"/>
  <c r="H47" i="11" s="1"/>
  <c r="I68" i="4"/>
  <c r="I74" i="4" s="1"/>
  <c r="I91" i="4" s="1"/>
  <c r="I46" i="11"/>
  <c r="I47" i="11" s="1"/>
  <c r="L19" i="11"/>
  <c r="K24" i="11"/>
  <c r="K28" i="11"/>
  <c r="K20" i="11"/>
  <c r="L27" i="11"/>
  <c r="M27" i="11" s="1"/>
  <c r="N27" i="11" s="1"/>
  <c r="O27" i="11" s="1"/>
  <c r="P27" i="11" s="1"/>
  <c r="Q27" i="11" s="1"/>
  <c r="R27" i="11" s="1"/>
  <c r="K30" i="11"/>
  <c r="K31" i="11"/>
  <c r="K32" i="11"/>
  <c r="L32" i="11" s="1"/>
  <c r="M32" i="11" s="1"/>
  <c r="N32" i="11" s="1"/>
  <c r="O32" i="11" s="1"/>
  <c r="P32" i="11" s="1"/>
  <c r="Q32" i="11" s="1"/>
  <c r="R32" i="11" s="1"/>
  <c r="K60" i="11"/>
  <c r="K63" i="11"/>
  <c r="L63" i="11"/>
  <c r="L7" i="4"/>
  <c r="M6" i="4"/>
  <c r="M19" i="11" s="1"/>
  <c r="I55" i="4"/>
  <c r="F68" i="4"/>
  <c r="F74" i="4" s="1"/>
  <c r="F91" i="4" s="1"/>
  <c r="F94" i="4" s="1"/>
  <c r="G90" i="4" s="1"/>
  <c r="F53" i="4"/>
  <c r="F29" i="11" s="1"/>
  <c r="H55" i="4"/>
  <c r="L31" i="11" l="1"/>
  <c r="M31" i="11" s="1"/>
  <c r="N31" i="11" s="1"/>
  <c r="O31" i="11" s="1"/>
  <c r="P31" i="11" s="1"/>
  <c r="Q31" i="11" s="1"/>
  <c r="R31" i="11" s="1"/>
  <c r="L28" i="11"/>
  <c r="M28" i="11" s="1"/>
  <c r="H64" i="4"/>
  <c r="H34" i="11"/>
  <c r="H35" i="11"/>
  <c r="H48" i="11"/>
  <c r="I64" i="4"/>
  <c r="I48" i="11"/>
  <c r="I34" i="11"/>
  <c r="I35" i="11"/>
  <c r="L20" i="11"/>
  <c r="L43" i="4"/>
  <c r="K52" i="11"/>
  <c r="N6" i="4"/>
  <c r="M7" i="4"/>
  <c r="M20" i="11" s="1"/>
  <c r="F55" i="4"/>
  <c r="L47" i="4" l="1"/>
  <c r="L14" i="4"/>
  <c r="N28" i="11"/>
  <c r="O28" i="11" s="1"/>
  <c r="P28" i="11" s="1"/>
  <c r="Q28" i="11" s="1"/>
  <c r="R28" i="11" s="1"/>
  <c r="E12" i="12"/>
  <c r="I21" i="12" s="1"/>
  <c r="I22" i="12" s="1"/>
  <c r="F64" i="4"/>
  <c r="F34" i="11"/>
  <c r="F48" i="11"/>
  <c r="F35" i="11"/>
  <c r="N19" i="11"/>
  <c r="I57" i="11"/>
  <c r="I58" i="11" s="1"/>
  <c r="I49" i="11"/>
  <c r="H49" i="11"/>
  <c r="H57" i="11"/>
  <c r="H58" i="11" s="1"/>
  <c r="O6" i="4"/>
  <c r="N7" i="4"/>
  <c r="N20" i="11" s="1"/>
  <c r="F49" i="11" l="1"/>
  <c r="F57" i="11"/>
  <c r="F58" i="11" s="1"/>
  <c r="O19" i="11"/>
  <c r="P6" i="4"/>
  <c r="P19" i="11" s="1"/>
  <c r="O7" i="4"/>
  <c r="O20" i="11" s="1"/>
  <c r="M72" i="4"/>
  <c r="D15" i="11"/>
  <c r="M36" i="4"/>
  <c r="N36" i="4" s="1"/>
  <c r="O36" i="4" s="1"/>
  <c r="P36" i="4" s="1"/>
  <c r="Q36" i="4" s="1"/>
  <c r="R36" i="4" s="1"/>
  <c r="M86" i="4"/>
  <c r="N86" i="4" l="1"/>
  <c r="Q6" i="4"/>
  <c r="Q19" i="11" s="1"/>
  <c r="P7" i="4"/>
  <c r="P20" i="11" s="1"/>
  <c r="N72" i="4"/>
  <c r="M52" i="4"/>
  <c r="B2" i="12" l="1"/>
  <c r="B2" i="6"/>
  <c r="D10" i="11"/>
  <c r="D62" i="11" s="1"/>
  <c r="B2" i="1"/>
  <c r="O86" i="4"/>
  <c r="B2" i="11"/>
  <c r="R6" i="4"/>
  <c r="Q7" i="4"/>
  <c r="Q20" i="11" s="1"/>
  <c r="O72" i="4"/>
  <c r="N52" i="4"/>
  <c r="G71" i="11" l="1"/>
  <c r="E71" i="11"/>
  <c r="E72" i="11"/>
  <c r="E69" i="11"/>
  <c r="J72" i="11"/>
  <c r="F72" i="11"/>
  <c r="R7" i="4"/>
  <c r="R20" i="11" s="1"/>
  <c r="R19" i="11"/>
  <c r="D83" i="11"/>
  <c r="I11" i="12"/>
  <c r="L71" i="11"/>
  <c r="K71" i="11"/>
  <c r="L72" i="11"/>
  <c r="J71" i="11"/>
  <c r="D84" i="11"/>
  <c r="K72" i="11"/>
  <c r="F71" i="11"/>
  <c r="G72" i="11"/>
  <c r="H71" i="11"/>
  <c r="E64" i="11"/>
  <c r="K64" i="11"/>
  <c r="L64" i="11" s="1"/>
  <c r="J64" i="11"/>
  <c r="H64" i="11"/>
  <c r="G64" i="11"/>
  <c r="F64" i="11"/>
  <c r="I64" i="11"/>
  <c r="P86" i="4"/>
  <c r="H72" i="11"/>
  <c r="P72" i="4"/>
  <c r="O52" i="4"/>
  <c r="I13" i="12" l="1"/>
  <c r="I18" i="12" s="1"/>
  <c r="I19" i="12" s="1"/>
  <c r="I24" i="12" s="1"/>
  <c r="I25" i="12" s="1"/>
  <c r="D8" i="11" s="1"/>
  <c r="F54" i="11"/>
  <c r="I54" i="11"/>
  <c r="H54" i="11"/>
  <c r="K66" i="11"/>
  <c r="F66" i="11"/>
  <c r="H66" i="11"/>
  <c r="I66" i="11"/>
  <c r="E66" i="11"/>
  <c r="G66" i="11"/>
  <c r="J66" i="11"/>
  <c r="L66" i="11"/>
  <c r="Q86" i="4"/>
  <c r="R86" i="4" s="1"/>
  <c r="I72" i="11"/>
  <c r="I71" i="11"/>
  <c r="Q72" i="4"/>
  <c r="P52" i="4"/>
  <c r="R72" i="4" l="1"/>
  <c r="R52" i="4" s="1"/>
  <c r="Q52" i="4"/>
  <c r="M77" i="4"/>
  <c r="F69" i="11" s="1"/>
  <c r="R77" i="4"/>
  <c r="M33" i="4"/>
  <c r="N33" i="4" s="1"/>
  <c r="O33" i="4" s="1"/>
  <c r="P33" i="4" s="1"/>
  <c r="Q33" i="4" s="1"/>
  <c r="R33" i="4" s="1"/>
  <c r="M19" i="4"/>
  <c r="N19" i="4" s="1"/>
  <c r="O19" i="4" s="1"/>
  <c r="P19" i="4" s="1"/>
  <c r="Q19" i="4" s="1"/>
  <c r="R19" i="4" s="1"/>
  <c r="M24" i="4"/>
  <c r="N24" i="4" s="1"/>
  <c r="O24" i="4" s="1"/>
  <c r="P24" i="4" s="1"/>
  <c r="Q24" i="4" s="1"/>
  <c r="R24" i="4" s="1"/>
  <c r="M16" i="4"/>
  <c r="N16" i="4" s="1"/>
  <c r="O16" i="4" s="1"/>
  <c r="P16" i="4" s="1"/>
  <c r="Q16" i="4" s="1"/>
  <c r="R16" i="4" s="1"/>
  <c r="M15" i="4"/>
  <c r="N15" i="4" s="1"/>
  <c r="O15" i="4" s="1"/>
  <c r="P15" i="4" s="1"/>
  <c r="Q15" i="4" s="1"/>
  <c r="R15" i="4" s="1"/>
  <c r="J88" i="4"/>
  <c r="G80" i="4"/>
  <c r="K80" i="4"/>
  <c r="G70" i="4"/>
  <c r="E70" i="4"/>
  <c r="B2" i="4"/>
  <c r="D4" i="4"/>
  <c r="K45" i="4"/>
  <c r="J45" i="4"/>
  <c r="G45" i="4"/>
  <c r="E45" i="4"/>
  <c r="M26" i="4"/>
  <c r="N26" i="4" s="1"/>
  <c r="O26" i="4" s="1"/>
  <c r="P26" i="4" s="1"/>
  <c r="Q26" i="4" s="1"/>
  <c r="R26" i="4" s="1"/>
  <c r="M23" i="4"/>
  <c r="N23" i="4" s="1"/>
  <c r="O23" i="4" s="1"/>
  <c r="P23" i="4" s="1"/>
  <c r="M17" i="4"/>
  <c r="N17" i="4" s="1"/>
  <c r="O17" i="4" s="1"/>
  <c r="P17" i="4" s="1"/>
  <c r="Q17" i="4" s="1"/>
  <c r="R17" i="4" s="1"/>
  <c r="J34" i="4"/>
  <c r="J37" i="4" s="1"/>
  <c r="G34" i="4"/>
  <c r="G37" i="4" s="1"/>
  <c r="E34" i="4"/>
  <c r="E37" i="4" s="1"/>
  <c r="E48" i="4" l="1"/>
  <c r="E42" i="11"/>
  <c r="E43" i="11" s="1"/>
  <c r="E25" i="11"/>
  <c r="G42" i="11"/>
  <c r="G43" i="11" s="1"/>
  <c r="G25" i="11"/>
  <c r="J25" i="11"/>
  <c r="J42" i="11"/>
  <c r="J43" i="11" s="1"/>
  <c r="K25" i="11"/>
  <c r="K42" i="11"/>
  <c r="K43" i="11" s="1"/>
  <c r="R80" i="4"/>
  <c r="K69" i="11"/>
  <c r="M31" i="4"/>
  <c r="N31" i="4" s="1"/>
  <c r="O31" i="4" s="1"/>
  <c r="P31" i="4" s="1"/>
  <c r="Q31" i="4" s="1"/>
  <c r="M80" i="4"/>
  <c r="Q77" i="4"/>
  <c r="P77" i="4"/>
  <c r="I69" i="11" s="1"/>
  <c r="O77" i="4"/>
  <c r="H69" i="11" s="1"/>
  <c r="N77" i="4"/>
  <c r="G69" i="11" s="1"/>
  <c r="Q23" i="4"/>
  <c r="E88" i="4"/>
  <c r="K88" i="4"/>
  <c r="G88" i="4"/>
  <c r="J80" i="4"/>
  <c r="E80" i="4"/>
  <c r="K48" i="4"/>
  <c r="J48" i="4"/>
  <c r="G48" i="4"/>
  <c r="K34" i="4"/>
  <c r="K37" i="4" s="1"/>
  <c r="K20" i="4"/>
  <c r="K27" i="4"/>
  <c r="G27" i="4"/>
  <c r="J27" i="4"/>
  <c r="G20" i="4"/>
  <c r="J20" i="4"/>
  <c r="E27" i="4"/>
  <c r="E20" i="4"/>
  <c r="D21" i="1"/>
  <c r="L25" i="11" l="1"/>
  <c r="M25" i="11" s="1"/>
  <c r="N25" i="11" s="1"/>
  <c r="O25" i="11" s="1"/>
  <c r="P25" i="11" s="1"/>
  <c r="Q25" i="11" s="1"/>
  <c r="J50" i="4"/>
  <c r="J68" i="4" s="1"/>
  <c r="J73" i="4" s="1"/>
  <c r="J44" i="11"/>
  <c r="J45" i="11" s="1"/>
  <c r="J33" i="11"/>
  <c r="E44" i="11"/>
  <c r="E45" i="11" s="1"/>
  <c r="E33" i="11"/>
  <c r="E50" i="4"/>
  <c r="G44" i="11"/>
  <c r="G45" i="11" s="1"/>
  <c r="G33" i="11"/>
  <c r="K50" i="4"/>
  <c r="K53" i="4" s="1"/>
  <c r="K29" i="11" s="1"/>
  <c r="K44" i="11"/>
  <c r="K45" i="11" s="1"/>
  <c r="K33" i="11"/>
  <c r="Q80" i="4"/>
  <c r="J69" i="11"/>
  <c r="N80" i="4"/>
  <c r="P80" i="4"/>
  <c r="O80" i="4"/>
  <c r="E68" i="4"/>
  <c r="E74" i="4" s="1"/>
  <c r="D22" i="1"/>
  <c r="D23" i="1" s="1"/>
  <c r="E14" i="1" s="1"/>
  <c r="G50" i="4"/>
  <c r="R31" i="4"/>
  <c r="R23" i="4"/>
  <c r="E53" i="4"/>
  <c r="E29" i="11" s="1"/>
  <c r="K29" i="4"/>
  <c r="K39" i="4" s="1"/>
  <c r="E29" i="4"/>
  <c r="E39" i="4" s="1"/>
  <c r="J29" i="4"/>
  <c r="J39" i="4" s="1"/>
  <c r="G29" i="4"/>
  <c r="G39" i="4" s="1"/>
  <c r="J46" i="11" l="1"/>
  <c r="J53" i="4"/>
  <c r="J29" i="11" s="1"/>
  <c r="E46" i="11"/>
  <c r="G53" i="4"/>
  <c r="G29" i="11" s="1"/>
  <c r="G46" i="11"/>
  <c r="K68" i="4"/>
  <c r="K74" i="4" s="1"/>
  <c r="K91" i="4" s="1"/>
  <c r="K46" i="11"/>
  <c r="G68" i="4"/>
  <c r="G74" i="4" s="1"/>
  <c r="G91" i="4" s="1"/>
  <c r="J55" i="4"/>
  <c r="E55" i="4"/>
  <c r="G55" i="4"/>
  <c r="K55" i="4"/>
  <c r="E91" i="4"/>
  <c r="J74" i="4"/>
  <c r="J91" i="4" s="1"/>
  <c r="G47" i="11" l="1"/>
  <c r="G54" i="11"/>
  <c r="E47" i="11"/>
  <c r="E54" i="11"/>
  <c r="G64" i="4"/>
  <c r="G34" i="11"/>
  <c r="G48" i="11"/>
  <c r="G35" i="11"/>
  <c r="J57" i="4"/>
  <c r="J48" i="11"/>
  <c r="J35" i="11"/>
  <c r="J34" i="11"/>
  <c r="E64" i="4"/>
  <c r="E48" i="11"/>
  <c r="E49" i="11" s="1"/>
  <c r="E35" i="11"/>
  <c r="E34" i="11"/>
  <c r="J47" i="11"/>
  <c r="J54" i="11"/>
  <c r="K57" i="4"/>
  <c r="K64" i="4" s="1"/>
  <c r="K35" i="11"/>
  <c r="K48" i="11"/>
  <c r="K34" i="11"/>
  <c r="K47" i="11"/>
  <c r="K54" i="11"/>
  <c r="J64" i="4"/>
  <c r="G94" i="4"/>
  <c r="H90" i="4" s="1"/>
  <c r="H94" i="4" s="1"/>
  <c r="I90" i="4" s="1"/>
  <c r="G57" i="11" l="1"/>
  <c r="G58" i="11" s="1"/>
  <c r="G49" i="11"/>
  <c r="J49" i="11"/>
  <c r="J57" i="11"/>
  <c r="J58" i="11" s="1"/>
  <c r="K49" i="11"/>
  <c r="K57" i="11"/>
  <c r="K58" i="11" s="1"/>
  <c r="J94" i="4"/>
  <c r="J97" i="4" s="1"/>
  <c r="K90" i="4" l="1"/>
  <c r="K94" i="4" s="1"/>
  <c r="K97" i="4" l="1"/>
  <c r="L90" i="4"/>
  <c r="L41" i="11" l="1"/>
  <c r="L44" i="4" l="1"/>
  <c r="L22" i="4" s="1"/>
  <c r="L13" i="4"/>
  <c r="M43" i="4"/>
  <c r="M41" i="11" s="1"/>
  <c r="L69" i="4" l="1"/>
  <c r="E70" i="11" s="1"/>
  <c r="L45" i="4"/>
  <c r="M13" i="4"/>
  <c r="M14" i="4"/>
  <c r="N43" i="4"/>
  <c r="N41" i="11" s="1"/>
  <c r="M47" i="4"/>
  <c r="M44" i="4"/>
  <c r="M22" i="4" s="1"/>
  <c r="L48" i="4" l="1"/>
  <c r="L42" i="11"/>
  <c r="O43" i="4"/>
  <c r="O41" i="11" s="1"/>
  <c r="M69" i="4"/>
  <c r="F70" i="11" s="1"/>
  <c r="M45" i="4"/>
  <c r="N14" i="4"/>
  <c r="N13" i="4"/>
  <c r="N47" i="4"/>
  <c r="N44" i="4"/>
  <c r="N22" i="4" s="1"/>
  <c r="L43" i="11" l="1"/>
  <c r="L25" i="4"/>
  <c r="L51" i="4" s="1"/>
  <c r="L81" i="4" s="1"/>
  <c r="L44" i="11"/>
  <c r="H12" i="11" s="1"/>
  <c r="M48" i="4"/>
  <c r="M42" i="11"/>
  <c r="O44" i="4"/>
  <c r="O22" i="4" s="1"/>
  <c r="O13" i="4"/>
  <c r="O47" i="4"/>
  <c r="O14" i="4"/>
  <c r="N69" i="4"/>
  <c r="G70" i="11" s="1"/>
  <c r="N45" i="4"/>
  <c r="L45" i="11" l="1"/>
  <c r="L27" i="4"/>
  <c r="M43" i="11"/>
  <c r="L82" i="4"/>
  <c r="M25" i="4"/>
  <c r="M27" i="4" s="1"/>
  <c r="M44" i="11"/>
  <c r="N48" i="4"/>
  <c r="N42" i="11"/>
  <c r="O69" i="4"/>
  <c r="H70" i="11" s="1"/>
  <c r="P43" i="4"/>
  <c r="P41" i="11" s="1"/>
  <c r="O45" i="4"/>
  <c r="M45" i="11" l="1"/>
  <c r="H13" i="11"/>
  <c r="N43" i="11"/>
  <c r="M82" i="4"/>
  <c r="M51" i="4"/>
  <c r="M81" i="4" s="1"/>
  <c r="N25" i="4"/>
  <c r="N51" i="4" s="1"/>
  <c r="N81" i="4" s="1"/>
  <c r="N44" i="11"/>
  <c r="O48" i="4"/>
  <c r="O42" i="11"/>
  <c r="Q43" i="4"/>
  <c r="P14" i="4"/>
  <c r="P47" i="4"/>
  <c r="P13" i="4"/>
  <c r="P44" i="4"/>
  <c r="P22" i="4" s="1"/>
  <c r="N45" i="11" l="1"/>
  <c r="H14" i="11"/>
  <c r="O43" i="11"/>
  <c r="N82" i="4"/>
  <c r="N27" i="4"/>
  <c r="O25" i="4"/>
  <c r="O82" i="4" s="1"/>
  <c r="O44" i="11"/>
  <c r="O45" i="11" s="1"/>
  <c r="Q47" i="4"/>
  <c r="Q41" i="11"/>
  <c r="R43" i="4"/>
  <c r="Q44" i="4"/>
  <c r="Q22" i="4" s="1"/>
  <c r="Q14" i="4"/>
  <c r="Q13" i="4"/>
  <c r="P69" i="4"/>
  <c r="I70" i="11" s="1"/>
  <c r="P45" i="4"/>
  <c r="O27" i="4" l="1"/>
  <c r="O51" i="4"/>
  <c r="O81" i="4" s="1"/>
  <c r="P48" i="4"/>
  <c r="P42" i="11"/>
  <c r="R14" i="4"/>
  <c r="R41" i="11"/>
  <c r="R13" i="4"/>
  <c r="R47" i="4"/>
  <c r="R44" i="4"/>
  <c r="R22" i="4" s="1"/>
  <c r="Q45" i="4"/>
  <c r="Q69" i="4"/>
  <c r="J70" i="11" s="1"/>
  <c r="P43" i="11" l="1"/>
  <c r="P25" i="4"/>
  <c r="P82" i="4" s="1"/>
  <c r="P44" i="11"/>
  <c r="P45" i="11" s="1"/>
  <c r="Q48" i="4"/>
  <c r="Q42" i="11"/>
  <c r="R45" i="4"/>
  <c r="R69" i="4"/>
  <c r="K70" i="11" s="1"/>
  <c r="L70" i="11" s="1"/>
  <c r="Q43" i="11" l="1"/>
  <c r="P51" i="4"/>
  <c r="P81" i="4" s="1"/>
  <c r="P27" i="4"/>
  <c r="Q25" i="4"/>
  <c r="Q51" i="4" s="1"/>
  <c r="Q81" i="4" s="1"/>
  <c r="Q44" i="11"/>
  <c r="Q45" i="11" s="1"/>
  <c r="R48" i="4"/>
  <c r="R42" i="11"/>
  <c r="R43" i="11" l="1"/>
  <c r="Q27" i="4"/>
  <c r="R25" i="4"/>
  <c r="R44" i="11"/>
  <c r="R45" i="11" s="1"/>
  <c r="Q82" i="4"/>
  <c r="R27" i="4" l="1"/>
  <c r="R82" i="4"/>
  <c r="R51" i="4"/>
  <c r="R81" i="4" s="1"/>
  <c r="L49" i="4" l="1"/>
  <c r="E68" i="11" s="1"/>
  <c r="L18" i="4" l="1"/>
  <c r="L70" i="4"/>
  <c r="L50" i="4"/>
  <c r="E65" i="11" l="1"/>
  <c r="E67" i="11" s="1"/>
  <c r="E73" i="11" s="1"/>
  <c r="E75" i="11" s="1"/>
  <c r="L46" i="11"/>
  <c r="H9" i="11" s="1"/>
  <c r="M49" i="4"/>
  <c r="F68" i="11" s="1"/>
  <c r="L68" i="4"/>
  <c r="L53" i="4"/>
  <c r="L47" i="11" l="1"/>
  <c r="L54" i="11"/>
  <c r="M70" i="4"/>
  <c r="M50" i="4"/>
  <c r="M18" i="4"/>
  <c r="L54" i="4"/>
  <c r="L71" i="4" s="1"/>
  <c r="L74" i="4" s="1"/>
  <c r="F65" i="11" l="1"/>
  <c r="F67" i="11" s="1"/>
  <c r="F73" i="11" s="1"/>
  <c r="F75" i="11" s="1"/>
  <c r="M46" i="11"/>
  <c r="N49" i="4"/>
  <c r="G68" i="11" s="1"/>
  <c r="M68" i="4"/>
  <c r="M53" i="4"/>
  <c r="L55" i="4"/>
  <c r="L48" i="11" s="1"/>
  <c r="H15" i="11" s="1"/>
  <c r="M47" i="11" l="1"/>
  <c r="H10" i="11"/>
  <c r="L49" i="11"/>
  <c r="M54" i="11"/>
  <c r="N70" i="4"/>
  <c r="N50" i="4"/>
  <c r="M54" i="4"/>
  <c r="M71" i="4" s="1"/>
  <c r="M74" i="4" s="1"/>
  <c r="N18" i="4"/>
  <c r="L58" i="4"/>
  <c r="E77" i="11" s="1"/>
  <c r="E79" i="11" s="1"/>
  <c r="L84" i="4"/>
  <c r="L63" i="4"/>
  <c r="L85" i="4"/>
  <c r="G65" i="11" l="1"/>
  <c r="G67" i="11" s="1"/>
  <c r="G73" i="11" s="1"/>
  <c r="G75" i="11" s="1"/>
  <c r="N46" i="11"/>
  <c r="M55" i="4"/>
  <c r="N68" i="4"/>
  <c r="N53" i="4"/>
  <c r="O49" i="4"/>
  <c r="H68" i="11" s="1"/>
  <c r="L88" i="4"/>
  <c r="L35" i="4"/>
  <c r="L57" i="4"/>
  <c r="N47" i="11" l="1"/>
  <c r="H11" i="11"/>
  <c r="L64" i="4"/>
  <c r="L60" i="4"/>
  <c r="L61" i="4" s="1"/>
  <c r="N54" i="11"/>
  <c r="O18" i="4"/>
  <c r="P49" i="4" s="1"/>
  <c r="I68" i="11" s="1"/>
  <c r="M84" i="4"/>
  <c r="M48" i="11"/>
  <c r="M58" i="4"/>
  <c r="M85" i="4"/>
  <c r="M63" i="4"/>
  <c r="O70" i="4"/>
  <c r="O50" i="4"/>
  <c r="N54" i="4"/>
  <c r="N71" i="4" s="1"/>
  <c r="N74" i="4" s="1"/>
  <c r="L91" i="4"/>
  <c r="L94" i="4" s="1"/>
  <c r="L32" i="4"/>
  <c r="H65" i="11" l="1"/>
  <c r="H67" i="11" s="1"/>
  <c r="H73" i="11" s="1"/>
  <c r="H75" i="11" s="1"/>
  <c r="M57" i="4"/>
  <c r="M60" i="4" s="1"/>
  <c r="M61" i="4" s="1"/>
  <c r="M51" i="11" s="1"/>
  <c r="M52" i="11" s="1"/>
  <c r="F77" i="11"/>
  <c r="F79" i="11" s="1"/>
  <c r="M49" i="11"/>
  <c r="H16" i="11"/>
  <c r="M88" i="4"/>
  <c r="M91" i="4" s="1"/>
  <c r="O46" i="11"/>
  <c r="O54" i="11" s="1"/>
  <c r="P18" i="4"/>
  <c r="Q49" i="4" s="1"/>
  <c r="L51" i="11"/>
  <c r="N55" i="4"/>
  <c r="M35" i="4"/>
  <c r="O53" i="4"/>
  <c r="O68" i="4"/>
  <c r="P50" i="4"/>
  <c r="P70" i="4"/>
  <c r="L12" i="4"/>
  <c r="M90" i="4"/>
  <c r="L34" i="4"/>
  <c r="L37" i="4" s="1"/>
  <c r="I65" i="11" l="1"/>
  <c r="I67" i="11" s="1"/>
  <c r="I73" i="11" s="1"/>
  <c r="I75" i="11" s="1"/>
  <c r="Q18" i="4"/>
  <c r="R49" i="4" s="1"/>
  <c r="J68" i="11"/>
  <c r="M64" i="4"/>
  <c r="M32" i="4"/>
  <c r="M34" i="4" s="1"/>
  <c r="M37" i="4" s="1"/>
  <c r="O47" i="11"/>
  <c r="M94" i="4"/>
  <c r="N90" i="4" s="1"/>
  <c r="P46" i="11"/>
  <c r="P54" i="11" s="1"/>
  <c r="L52" i="11"/>
  <c r="L57" i="11"/>
  <c r="L58" i="11" s="1"/>
  <c r="M57" i="11"/>
  <c r="M58" i="11" s="1"/>
  <c r="N58" i="4"/>
  <c r="N48" i="11"/>
  <c r="N85" i="4"/>
  <c r="N84" i="4"/>
  <c r="N63" i="4"/>
  <c r="P53" i="4"/>
  <c r="P68" i="4"/>
  <c r="Q70" i="4"/>
  <c r="Q50" i="4"/>
  <c r="O54" i="4"/>
  <c r="O71" i="4" s="1"/>
  <c r="O74" i="4" s="1"/>
  <c r="L96" i="4"/>
  <c r="L97" i="4" s="1"/>
  <c r="L20" i="4"/>
  <c r="L29" i="4" l="1"/>
  <c r="L39" i="4" s="1"/>
  <c r="L37" i="11"/>
  <c r="Q46" i="11"/>
  <c r="Q47" i="11" s="1"/>
  <c r="J65" i="11"/>
  <c r="J67" i="11" s="1"/>
  <c r="J73" i="11" s="1"/>
  <c r="J75" i="11" s="1"/>
  <c r="R18" i="4"/>
  <c r="K68" i="11"/>
  <c r="N57" i="4"/>
  <c r="N60" i="4" s="1"/>
  <c r="N61" i="4" s="1"/>
  <c r="N51" i="11" s="1"/>
  <c r="N52" i="11" s="1"/>
  <c r="G77" i="11"/>
  <c r="G79" i="11" s="1"/>
  <c r="N49" i="11"/>
  <c r="H17" i="11"/>
  <c r="P47" i="11"/>
  <c r="M12" i="4"/>
  <c r="M20" i="4" s="1"/>
  <c r="N88" i="4"/>
  <c r="N91" i="4" s="1"/>
  <c r="N94" i="4" s="1"/>
  <c r="N12" i="4" s="1"/>
  <c r="N35" i="4"/>
  <c r="O55" i="4"/>
  <c r="R50" i="4"/>
  <c r="R70" i="4"/>
  <c r="Q53" i="4"/>
  <c r="Q68" i="4"/>
  <c r="P54" i="4"/>
  <c r="P71" i="4" s="1"/>
  <c r="P74" i="4" s="1"/>
  <c r="M29" i="4" l="1"/>
  <c r="M39" i="4" s="1"/>
  <c r="M37" i="11"/>
  <c r="Q54" i="11"/>
  <c r="R46" i="11"/>
  <c r="R47" i="11" s="1"/>
  <c r="K65" i="11"/>
  <c r="N64" i="4"/>
  <c r="N32" i="4"/>
  <c r="N34" i="4" s="1"/>
  <c r="N37" i="4" s="1"/>
  <c r="M96" i="4"/>
  <c r="M97" i="4" s="1"/>
  <c r="N57" i="11"/>
  <c r="N58" i="11" s="1"/>
  <c r="O84" i="4"/>
  <c r="O48" i="11"/>
  <c r="O49" i="11" s="1"/>
  <c r="O90" i="4"/>
  <c r="O85" i="4"/>
  <c r="O63" i="4"/>
  <c r="O58" i="4"/>
  <c r="P55" i="4"/>
  <c r="R53" i="4"/>
  <c r="R68" i="4"/>
  <c r="Q54" i="4"/>
  <c r="Q71" i="4" s="1"/>
  <c r="Q74" i="4" s="1"/>
  <c r="N20" i="4"/>
  <c r="N96" i="4"/>
  <c r="N97" i="4" s="1"/>
  <c r="N29" i="4" l="1"/>
  <c r="N39" i="4" s="1"/>
  <c r="N37" i="11"/>
  <c r="K67" i="11"/>
  <c r="K73" i="11" s="1"/>
  <c r="K75" i="11" s="1"/>
  <c r="L65" i="11"/>
  <c r="R54" i="11"/>
  <c r="O57" i="4"/>
  <c r="O60" i="4" s="1"/>
  <c r="O61" i="4" s="1"/>
  <c r="O51" i="11" s="1"/>
  <c r="O52" i="11" s="1"/>
  <c r="H77" i="11"/>
  <c r="H79" i="11" s="1"/>
  <c r="O88" i="4"/>
  <c r="O91" i="4" s="1"/>
  <c r="O94" i="4" s="1"/>
  <c r="P90" i="4" s="1"/>
  <c r="P58" i="4"/>
  <c r="P48" i="11"/>
  <c r="P49" i="11" s="1"/>
  <c r="P85" i="4"/>
  <c r="P84" i="4"/>
  <c r="O35" i="4"/>
  <c r="P63" i="4"/>
  <c r="Q55" i="4"/>
  <c r="R54" i="4"/>
  <c r="R71" i="4" s="1"/>
  <c r="R74" i="4" s="1"/>
  <c r="L67" i="11" l="1"/>
  <c r="L68" i="11"/>
  <c r="L69" i="11" s="1"/>
  <c r="O64" i="4"/>
  <c r="E7" i="6" s="1"/>
  <c r="O32" i="4"/>
  <c r="O34" i="4" s="1"/>
  <c r="O37" i="4" s="1"/>
  <c r="P57" i="4"/>
  <c r="P60" i="4" s="1"/>
  <c r="P61" i="4" s="1"/>
  <c r="P51" i="11" s="1"/>
  <c r="P52" i="11" s="1"/>
  <c r="I77" i="11"/>
  <c r="O57" i="11"/>
  <c r="O58" i="11" s="1"/>
  <c r="Q84" i="4"/>
  <c r="Q48" i="11"/>
  <c r="Q49" i="11" s="1"/>
  <c r="P88" i="4"/>
  <c r="P91" i="4" s="1"/>
  <c r="P94" i="4" s="1"/>
  <c r="Q90" i="4" s="1"/>
  <c r="P35" i="4"/>
  <c r="O12" i="4"/>
  <c r="O20" i="4" s="1"/>
  <c r="Q85" i="4"/>
  <c r="Q58" i="4"/>
  <c r="R55" i="4"/>
  <c r="Q63" i="4"/>
  <c r="O29" i="4" l="1"/>
  <c r="O39" i="4" s="1"/>
  <c r="E6" i="6" s="1"/>
  <c r="O37" i="11"/>
  <c r="L73" i="11"/>
  <c r="L74" i="11" s="1"/>
  <c r="L75" i="11" s="1"/>
  <c r="D82" i="11" s="1"/>
  <c r="D87" i="11" s="1"/>
  <c r="Q57" i="4"/>
  <c r="Q60" i="4" s="1"/>
  <c r="Q61" i="4" s="1"/>
  <c r="Q51" i="11" s="1"/>
  <c r="J77" i="11"/>
  <c r="J79" i="11" s="1"/>
  <c r="I79" i="11"/>
  <c r="L77" i="11"/>
  <c r="L78" i="11" s="1"/>
  <c r="L79" i="11" s="1"/>
  <c r="P64" i="4"/>
  <c r="P32" i="4"/>
  <c r="P34" i="4" s="1"/>
  <c r="P37" i="4" s="1"/>
  <c r="P57" i="11"/>
  <c r="P58" i="11" s="1"/>
  <c r="Q88" i="4"/>
  <c r="Q91" i="4" s="1"/>
  <c r="Q94" i="4" s="1"/>
  <c r="Q12" i="4" s="1"/>
  <c r="R85" i="4"/>
  <c r="R48" i="11"/>
  <c r="R49" i="11" s="1"/>
  <c r="P12" i="4"/>
  <c r="P96" i="4" s="1"/>
  <c r="P97" i="4" s="1"/>
  <c r="O96" i="4"/>
  <c r="O97" i="4" s="1"/>
  <c r="E8" i="6" s="1"/>
  <c r="Q35" i="4"/>
  <c r="R63" i="4"/>
  <c r="R58" i="4"/>
  <c r="R84" i="4"/>
  <c r="Q64" i="4" l="1"/>
  <c r="R57" i="4"/>
  <c r="R64" i="4" s="1"/>
  <c r="K77" i="11"/>
  <c r="K79" i="11" s="1"/>
  <c r="D88" i="11" s="1"/>
  <c r="Q32" i="4"/>
  <c r="Q34" i="4" s="1"/>
  <c r="Q37" i="4" s="1"/>
  <c r="Q52" i="11"/>
  <c r="Q57" i="11"/>
  <c r="Q58" i="11" s="1"/>
  <c r="R88" i="4"/>
  <c r="R91" i="4" s="1"/>
  <c r="P20" i="4"/>
  <c r="E10" i="6"/>
  <c r="R90" i="4"/>
  <c r="R35" i="4"/>
  <c r="Q20" i="4"/>
  <c r="Q96" i="4"/>
  <c r="Q97" i="4" s="1"/>
  <c r="Q29" i="4" l="1"/>
  <c r="Q39" i="4" s="1"/>
  <c r="Q37" i="11"/>
  <c r="P29" i="4"/>
  <c r="P39" i="4" s="1"/>
  <c r="P37" i="11"/>
  <c r="R60" i="4"/>
  <c r="R61" i="4" s="1"/>
  <c r="R51" i="11" s="1"/>
  <c r="R52" i="11" s="1"/>
  <c r="D89" i="11"/>
  <c r="D91" i="11" s="1"/>
  <c r="H84" i="11" s="1"/>
  <c r="R32" i="4"/>
  <c r="R34" i="4" s="1"/>
  <c r="R37" i="4" s="1"/>
  <c r="B3" i="1"/>
  <c r="B3" i="12"/>
  <c r="R94" i="4"/>
  <c r="R12" i="4" s="1"/>
  <c r="R96" i="4" s="1"/>
  <c r="R97" i="4" s="1"/>
  <c r="B3" i="4"/>
  <c r="B3" i="11"/>
  <c r="B3" i="6"/>
  <c r="R57" i="11" l="1"/>
  <c r="R58" i="11" s="1"/>
  <c r="H85" i="11"/>
  <c r="H83" i="11"/>
  <c r="R20" i="4"/>
  <c r="R29" i="4" l="1"/>
  <c r="R39" i="4" s="1"/>
  <c r="R37" i="11"/>
  <c r="G55" i="11"/>
  <c r="Q55" i="11"/>
  <c r="P55" i="11"/>
  <c r="F55" i="11"/>
  <c r="I55" i="11"/>
  <c r="E55" i="11"/>
  <c r="J55" i="11"/>
  <c r="O55" i="11"/>
  <c r="R55" i="11"/>
  <c r="N55" i="11"/>
  <c r="L55" i="11"/>
  <c r="K55" i="11"/>
  <c r="M55" i="11"/>
  <c r="H55" i="11"/>
  <c r="D16" i="11" l="1"/>
  <c r="D17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Moss</author>
  </authors>
  <commentList>
    <comment ref="E10" authorId="0" shapeId="0" xr:uid="{B50D12CF-7423-46FB-9FE4-A79E00D8E050}">
      <text>
        <r>
          <rPr>
            <sz val="9"/>
            <color indexed="81"/>
            <rFont val="Tahoma"/>
            <family val="2"/>
          </rPr>
          <t>https://www.marketwatch.com/investing/bond/tmbmkgb-20y?countrycode=bx</t>
        </r>
      </text>
    </comment>
    <comment ref="E11" authorId="0" shapeId="0" xr:uid="{C18BD819-1337-4F6A-A2B7-FD7FA25CEEF5}">
      <text>
        <r>
          <rPr>
            <sz val="9"/>
            <color indexed="81"/>
            <rFont val="Tahoma"/>
            <family val="2"/>
          </rPr>
          <t>https://pages.stern.nyu.edu/~adamodar/New_Home_Page/datafile/ctryprem.html</t>
        </r>
      </text>
    </comment>
    <comment ref="E17" authorId="0" shapeId="0" xr:uid="{DD8E3227-1687-456B-B4E4-B05D8AF036CD}">
      <text>
        <r>
          <rPr>
            <b/>
            <sz val="9"/>
            <color indexed="81"/>
            <rFont val="Tahoma"/>
            <family val="2"/>
          </rPr>
          <t>https://aswathdamodaran.blogspot.com/2015/04/the-small-cap-premium-fact-fiction-and.html</t>
        </r>
      </text>
    </comment>
  </commentList>
</comments>
</file>

<file path=xl/sharedStrings.xml><?xml version="1.0" encoding="utf-8"?>
<sst xmlns="http://schemas.openxmlformats.org/spreadsheetml/2006/main" count="221" uniqueCount="194">
  <si>
    <t>Company name</t>
  </si>
  <si>
    <t>Ticker</t>
  </si>
  <si>
    <t>MODEL STRUCTURE</t>
  </si>
  <si>
    <t>Currency</t>
  </si>
  <si>
    <t>£m</t>
  </si>
  <si>
    <t>Company information</t>
  </si>
  <si>
    <t>Calendar</t>
  </si>
  <si>
    <t>Model date</t>
  </si>
  <si>
    <t>Q1 trading update</t>
  </si>
  <si>
    <t>Q3 trading update</t>
  </si>
  <si>
    <t>Full year results</t>
  </si>
  <si>
    <t>Half year results</t>
  </si>
  <si>
    <t>Reporting</t>
  </si>
  <si>
    <t>date</t>
  </si>
  <si>
    <t>Results</t>
  </si>
  <si>
    <t>FINANCIALS</t>
  </si>
  <si>
    <t>Cash</t>
  </si>
  <si>
    <t>Inventory</t>
  </si>
  <si>
    <t>Date</t>
  </si>
  <si>
    <t>Trade &amp; other receivables</t>
  </si>
  <si>
    <t>Current tax assets</t>
  </si>
  <si>
    <t>Other non-operating assets</t>
  </si>
  <si>
    <t>Deferred tax assets</t>
  </si>
  <si>
    <t>Total assets</t>
  </si>
  <si>
    <t>Investment in associates/JVs</t>
  </si>
  <si>
    <t>Total liabilities</t>
  </si>
  <si>
    <t>Borrowings</t>
  </si>
  <si>
    <t>Trade &amp; other payables</t>
  </si>
  <si>
    <t>Provisions</t>
  </si>
  <si>
    <t>Deferred tax liabilities</t>
  </si>
  <si>
    <t>Net assets</t>
  </si>
  <si>
    <t>Share capital &amp; share premium</t>
  </si>
  <si>
    <t>Retained earnings</t>
  </si>
  <si>
    <t>Reserves</t>
  </si>
  <si>
    <t>Equity attributable to shareholders</t>
  </si>
  <si>
    <t>Non-controlling interest</t>
  </si>
  <si>
    <t>Total equity</t>
  </si>
  <si>
    <t>Check</t>
  </si>
  <si>
    <t>CHECKS</t>
  </si>
  <si>
    <t>Financials - BS</t>
  </si>
  <si>
    <t>Financials - PnL</t>
  </si>
  <si>
    <t>Financials - CF</t>
  </si>
  <si>
    <t>Other non-operating liabilities</t>
  </si>
  <si>
    <t>Last HY results available</t>
  </si>
  <si>
    <t>P&amp;L</t>
  </si>
  <si>
    <t>BALANCE SHEET</t>
  </si>
  <si>
    <t>Revenue</t>
  </si>
  <si>
    <t>Cost of sales</t>
  </si>
  <si>
    <t>Gross profit</t>
  </si>
  <si>
    <t>Admin expenses exc. D&amp;A</t>
  </si>
  <si>
    <t>EBITDA</t>
  </si>
  <si>
    <t>Depreciation &amp; Amortisation</t>
  </si>
  <si>
    <t>EBIT</t>
  </si>
  <si>
    <t>Profit before tax</t>
  </si>
  <si>
    <t>Tax</t>
  </si>
  <si>
    <t>Profit for the period</t>
  </si>
  <si>
    <t>Expected value</t>
  </si>
  <si>
    <t>Months in period</t>
  </si>
  <si>
    <t>Profit attributable to shareholders</t>
  </si>
  <si>
    <t>Profit attributable to NCI</t>
  </si>
  <si>
    <t>Distribution, advertising and selling costs</t>
  </si>
  <si>
    <t>Interest expense</t>
  </si>
  <si>
    <t>Other investment income/expense</t>
  </si>
  <si>
    <t>Basic EPS (pence)</t>
  </si>
  <si>
    <t>Diluted EPS (pence)</t>
  </si>
  <si>
    <t>CASHFLOW</t>
  </si>
  <si>
    <t>Cash generated from operations</t>
  </si>
  <si>
    <t>Cash used in investing activities</t>
  </si>
  <si>
    <t>Cash used in financing activities</t>
  </si>
  <si>
    <t>Opening cash balance</t>
  </si>
  <si>
    <t>Closing cash balance</t>
  </si>
  <si>
    <t>FX impact on cash</t>
  </si>
  <si>
    <t>Net increase/decrease in cash</t>
  </si>
  <si>
    <t>Other</t>
  </si>
  <si>
    <t>Operating profit</t>
  </si>
  <si>
    <t>Change in NWC</t>
  </si>
  <si>
    <t>Depreciation &amp; amortisation</t>
  </si>
  <si>
    <t>Tax paid</t>
  </si>
  <si>
    <t>Sale of PPE &amp; Intangibles</t>
  </si>
  <si>
    <t>Sale of subsidiaries</t>
  </si>
  <si>
    <t>Acquisitions</t>
  </si>
  <si>
    <t>Interest paid</t>
  </si>
  <si>
    <t>Change in borrowings</t>
  </si>
  <si>
    <t>Share buyback</t>
  </si>
  <si>
    <t>Dividends to NCI</t>
  </si>
  <si>
    <t>Dividends to shareholders</t>
  </si>
  <si>
    <t>Gross profit margin %</t>
  </si>
  <si>
    <t>Revenue growth YoY %</t>
  </si>
  <si>
    <t>Expenses (as % revenue)</t>
  </si>
  <si>
    <t>Interest expense (as % borrowings)</t>
  </si>
  <si>
    <t>Effective tax rate %</t>
  </si>
  <si>
    <t>Depreciation &amp; amortisation (as % y-1 NCA)</t>
  </si>
  <si>
    <t>Inventory days</t>
  </si>
  <si>
    <t>Receivables days</t>
  </si>
  <si>
    <t>Payables days</t>
  </si>
  <si>
    <t>EBITDA leverage ratio</t>
  </si>
  <si>
    <t>Dividend payout ratio %</t>
  </si>
  <si>
    <t>Profit share to NCI</t>
  </si>
  <si>
    <t>CAPEX spend</t>
  </si>
  <si>
    <t>WACC</t>
  </si>
  <si>
    <t>Unlevered Beta</t>
  </si>
  <si>
    <t>D/E Ratio</t>
  </si>
  <si>
    <t>Tax Rate</t>
  </si>
  <si>
    <t>Levered Beta</t>
  </si>
  <si>
    <t>Rf</t>
  </si>
  <si>
    <t>ERP</t>
  </si>
  <si>
    <t>Small Cap Premum</t>
  </si>
  <si>
    <t>Ke</t>
  </si>
  <si>
    <t>Selected Ke</t>
  </si>
  <si>
    <t>Kd</t>
  </si>
  <si>
    <t>Post-tax Kd</t>
  </si>
  <si>
    <t>Selected WACC</t>
  </si>
  <si>
    <t>Risk free rate</t>
  </si>
  <si>
    <t>Equity risk premium</t>
  </si>
  <si>
    <t>Market capitalisation (£m)</t>
  </si>
  <si>
    <t>Cost of debt</t>
  </si>
  <si>
    <t>Discount Rate</t>
  </si>
  <si>
    <t>Perpetural Growth Rate</t>
  </si>
  <si>
    <t>Valuation Date</t>
  </si>
  <si>
    <t>Shares Outstanding</t>
  </si>
  <si>
    <t>Entry</t>
  </si>
  <si>
    <t>Terminal</t>
  </si>
  <si>
    <t>Year Fraction</t>
  </si>
  <si>
    <t>Less: Cash Taxes</t>
  </si>
  <si>
    <t>Plus: D&amp;A</t>
  </si>
  <si>
    <t>Less: Capex</t>
  </si>
  <si>
    <t>Less: Changes in NWC</t>
  </si>
  <si>
    <t>Market Value vs Intrinsic Value</t>
  </si>
  <si>
    <t>Unlevered FCF</t>
  </si>
  <si>
    <t>Market Value</t>
  </si>
  <si>
    <t>Intrinsic Value</t>
  </si>
  <si>
    <t>Enterprise Value</t>
  </si>
  <si>
    <t>Less: net debt</t>
  </si>
  <si>
    <t>Equity Value</t>
  </si>
  <si>
    <t>Equity Value/Share</t>
  </si>
  <si>
    <t>Inputs</t>
  </si>
  <si>
    <t>Tax rate for WACC</t>
  </si>
  <si>
    <t>Unlevered beta - high</t>
  </si>
  <si>
    <t>Small cap premium</t>
  </si>
  <si>
    <t>Balance sheet date</t>
  </si>
  <si>
    <t>Terminal value</t>
  </si>
  <si>
    <t>Discounted cashflow</t>
  </si>
  <si>
    <t>Upside (p)</t>
  </si>
  <si>
    <t>Upside %</t>
  </si>
  <si>
    <t>30% margin of safety point</t>
  </si>
  <si>
    <t>Valuation date</t>
  </si>
  <si>
    <t>Perpetual bonds</t>
  </si>
  <si>
    <t>Dividends from associates</t>
  </si>
  <si>
    <t>Coupon paid on perpetual bond</t>
  </si>
  <si>
    <t>Add: non-operating assets</t>
  </si>
  <si>
    <t>Less: non-operating liabilities</t>
  </si>
  <si>
    <t>Coupon to pref shares</t>
  </si>
  <si>
    <t>Value to NCI</t>
  </si>
  <si>
    <t>Shareholder value</t>
  </si>
  <si>
    <t>Anexo Group Plc</t>
  </si>
  <si>
    <t>LSE:ANX</t>
  </si>
  <si>
    <t>Time period fraction</t>
  </si>
  <si>
    <t>PPE &amp; intangibles</t>
  </si>
  <si>
    <t>Share price (p)</t>
  </si>
  <si>
    <t>Other adj. to equity value</t>
  </si>
  <si>
    <t>Current Price (p)</t>
  </si>
  <si>
    <t>SUMMARY</t>
  </si>
  <si>
    <t>DISCOUNT RATE</t>
  </si>
  <si>
    <t>GP Margin %</t>
  </si>
  <si>
    <t>Net profit margin %</t>
  </si>
  <si>
    <t>EBITDA margin %</t>
  </si>
  <si>
    <t>Diluted EPS</t>
  </si>
  <si>
    <t>Price to earnings ratio</t>
  </si>
  <si>
    <t>FCFF per share</t>
  </si>
  <si>
    <t>EBIT margin %</t>
  </si>
  <si>
    <t>Price to FCFF ratio</t>
  </si>
  <si>
    <t>EV to EBIT ratio - actual</t>
  </si>
  <si>
    <t>EV to EBIT ratio - implied by valuation</t>
  </si>
  <si>
    <t>Margin of safety</t>
  </si>
  <si>
    <t>Current share price</t>
  </si>
  <si>
    <t>Tax rate</t>
  </si>
  <si>
    <t>DCF equity value per share</t>
  </si>
  <si>
    <t>Multiples</t>
  </si>
  <si>
    <t>EV/EBITDA (Current)</t>
  </si>
  <si>
    <t>EV/EBITDA (Y+2)</t>
  </si>
  <si>
    <t>EV/EBITDA (Y+1)</t>
  </si>
  <si>
    <t>EV/EBIT (Y+2)</t>
  </si>
  <si>
    <t>EV/EBIT (Y+1)</t>
  </si>
  <si>
    <t>EV/EBIT (Current)</t>
  </si>
  <si>
    <t>P/E (Current)</t>
  </si>
  <si>
    <t>P/E (Y+1)</t>
  </si>
  <si>
    <t>P/E (Y+2)</t>
  </si>
  <si>
    <t>QUANT VALUE INVESTING</t>
  </si>
  <si>
    <t>METRICS</t>
  </si>
  <si>
    <t>SUMMARY FINANCIALS</t>
  </si>
  <si>
    <t>Discounted value to NCI</t>
  </si>
  <si>
    <t>Terminal NCI value</t>
  </si>
  <si>
    <t>ROIC %</t>
  </si>
  <si>
    <t>Purchase of PPE &amp; intangibles + lease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</si>
</sst>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;&quot;(&quot;#,##0&quot;)&quot;"/>
    <numFmt numFmtId="166" formatCode="#,##0.0;&quot;(&quot;#,##0.0&quot;)&quot;"/>
    <numFmt numFmtId="167" formatCode="0.0%"/>
    <numFmt numFmtId="168" formatCode="0.0&quot;x&quot;"/>
    <numFmt numFmtId="169" formatCode="0.00&quot;x&quot;"/>
    <numFmt numFmtId="170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2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6" borderId="0"/>
  </cellStyleXfs>
  <cellXfs count="89">
    <xf numFmtId="0" fontId="0" fillId="0" borderId="0" xfId="0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2" borderId="2" xfId="1" applyFont="1" applyBorder="1"/>
    <xf numFmtId="14" fontId="0" fillId="2" borderId="2" xfId="1" applyNumberFormat="1" applyFont="1" applyBorder="1"/>
    <xf numFmtId="0" fontId="0" fillId="3" borderId="0" xfId="0" applyFill="1" applyAlignment="1">
      <alignment horizontal="right"/>
    </xf>
    <xf numFmtId="0" fontId="0" fillId="2" borderId="3" xfId="1" applyFont="1" applyBorder="1" applyAlignment="1">
      <alignment horizontal="right"/>
    </xf>
    <xf numFmtId="14" fontId="0" fillId="2" borderId="3" xfId="1" applyNumberFormat="1" applyFont="1" applyBorder="1" applyAlignment="1">
      <alignment horizontal="right"/>
    </xf>
    <xf numFmtId="16" fontId="0" fillId="2" borderId="1" xfId="1" applyNumberFormat="1" applyFont="1"/>
    <xf numFmtId="16" fontId="0" fillId="3" borderId="1" xfId="1" applyNumberFormat="1" applyFont="1" applyFill="1"/>
    <xf numFmtId="0" fontId="0" fillId="3" borderId="4" xfId="0" applyFill="1" applyBorder="1" applyAlignment="1">
      <alignment horizontal="right"/>
    </xf>
    <xf numFmtId="0" fontId="3" fillId="3" borderId="4" xfId="0" applyFont="1" applyFill="1" applyBorder="1"/>
    <xf numFmtId="0" fontId="0" fillId="3" borderId="4" xfId="0" applyFill="1" applyBorder="1"/>
    <xf numFmtId="14" fontId="0" fillId="3" borderId="0" xfId="0" applyNumberFormat="1" applyFill="1"/>
    <xf numFmtId="0" fontId="4" fillId="3" borderId="5" xfId="0" applyFont="1" applyFill="1" applyBorder="1"/>
    <xf numFmtId="43" fontId="0" fillId="3" borderId="0" xfId="2" applyFont="1" applyFill="1"/>
    <xf numFmtId="164" fontId="0" fillId="3" borderId="0" xfId="2" applyNumberFormat="1" applyFont="1" applyFill="1"/>
    <xf numFmtId="164" fontId="0" fillId="3" borderId="0" xfId="2" applyNumberFormat="1" applyFont="1" applyFill="1" applyAlignment="1">
      <alignment horizontal="right"/>
    </xf>
    <xf numFmtId="0" fontId="5" fillId="3" borderId="0" xfId="0" applyFont="1" applyFill="1"/>
    <xf numFmtId="0" fontId="7" fillId="3" borderId="0" xfId="0" applyFont="1" applyFill="1" applyAlignment="1">
      <alignment horizontal="right"/>
    </xf>
    <xf numFmtId="165" fontId="6" fillId="3" borderId="0" xfId="2" applyNumberFormat="1" applyFont="1" applyFill="1" applyAlignment="1">
      <alignment horizontal="right"/>
    </xf>
    <xf numFmtId="165" fontId="0" fillId="3" borderId="0" xfId="2" applyNumberFormat="1" applyFont="1" applyFill="1"/>
    <xf numFmtId="0" fontId="8" fillId="3" borderId="0" xfId="0" applyFont="1" applyFill="1"/>
    <xf numFmtId="165" fontId="0" fillId="3" borderId="5" xfId="2" applyNumberFormat="1" applyFont="1" applyFill="1" applyBorder="1"/>
    <xf numFmtId="14" fontId="0" fillId="3" borderId="0" xfId="1" applyNumberFormat="1" applyFont="1" applyFill="1" applyBorder="1"/>
    <xf numFmtId="14" fontId="0" fillId="3" borderId="0" xfId="1" applyNumberFormat="1" applyFont="1" applyFill="1" applyBorder="1" applyAlignment="1">
      <alignment horizontal="right"/>
    </xf>
    <xf numFmtId="164" fontId="9" fillId="5" borderId="0" xfId="2" applyNumberFormat="1" applyFont="1" applyFill="1"/>
    <xf numFmtId="166" fontId="0" fillId="3" borderId="0" xfId="2" applyNumberFormat="1" applyFont="1" applyFill="1"/>
    <xf numFmtId="167" fontId="0" fillId="3" borderId="0" xfId="3" applyNumberFormat="1" applyFont="1" applyFill="1"/>
    <xf numFmtId="166" fontId="6" fillId="3" borderId="0" xfId="2" applyNumberFormat="1" applyFont="1" applyFill="1" applyAlignment="1">
      <alignment horizontal="right"/>
    </xf>
    <xf numFmtId="43" fontId="0" fillId="0" borderId="1" xfId="2" applyFont="1" applyFill="1" applyBorder="1"/>
    <xf numFmtId="10" fontId="0" fillId="0" borderId="1" xfId="3" applyNumberFormat="1" applyFont="1" applyFill="1" applyBorder="1"/>
    <xf numFmtId="10" fontId="0" fillId="3" borderId="0" xfId="0" applyNumberFormat="1" applyFill="1"/>
    <xf numFmtId="43" fontId="0" fillId="3" borderId="1" xfId="2" applyFont="1" applyFill="1" applyBorder="1"/>
    <xf numFmtId="10" fontId="0" fillId="3" borderId="1" xfId="1" applyNumberFormat="1" applyFont="1" applyFill="1"/>
    <xf numFmtId="2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/>
    <xf numFmtId="164" fontId="4" fillId="3" borderId="0" xfId="2" applyNumberFormat="1" applyFont="1" applyFill="1"/>
    <xf numFmtId="10" fontId="0" fillId="3" borderId="1" xfId="3" applyNumberFormat="1" applyFont="1" applyFill="1" applyBorder="1"/>
    <xf numFmtId="43" fontId="0" fillId="3" borderId="0" xfId="0" applyNumberFormat="1" applyFill="1"/>
    <xf numFmtId="0" fontId="10" fillId="3" borderId="0" xfId="0" applyFont="1" applyFill="1"/>
    <xf numFmtId="9" fontId="5" fillId="3" borderId="0" xfId="3" applyFont="1" applyFill="1"/>
    <xf numFmtId="165" fontId="0" fillId="3" borderId="0" xfId="2" applyNumberFormat="1" applyFont="1" applyFill="1" applyBorder="1"/>
    <xf numFmtId="9" fontId="5" fillId="3" borderId="0" xfId="3" applyFont="1" applyFill="1" applyBorder="1"/>
    <xf numFmtId="0" fontId="0" fillId="3" borderId="6" xfId="0" applyFill="1" applyBorder="1"/>
    <xf numFmtId="165" fontId="0" fillId="3" borderId="6" xfId="2" applyNumberFormat="1" applyFont="1" applyFill="1" applyBorder="1"/>
    <xf numFmtId="0" fontId="5" fillId="3" borderId="6" xfId="0" applyFont="1" applyFill="1" applyBorder="1"/>
    <xf numFmtId="9" fontId="5" fillId="3" borderId="6" xfId="3" applyFont="1" applyFill="1" applyBorder="1"/>
    <xf numFmtId="165" fontId="0" fillId="6" borderId="6" xfId="2" applyNumberFormat="1" applyFont="1" applyFill="1" applyBorder="1"/>
    <xf numFmtId="165" fontId="0" fillId="6" borderId="0" xfId="2" applyNumberFormat="1" applyFont="1" applyFill="1" applyBorder="1"/>
    <xf numFmtId="9" fontId="5" fillId="6" borderId="6" xfId="3" applyFont="1" applyFill="1" applyBorder="1"/>
    <xf numFmtId="9" fontId="5" fillId="6" borderId="0" xfId="3" applyFont="1" applyFill="1" applyBorder="1"/>
    <xf numFmtId="167" fontId="0" fillId="6" borderId="0" xfId="3" applyNumberFormat="1" applyFont="1" applyFill="1"/>
    <xf numFmtId="9" fontId="0" fillId="6" borderId="0" xfId="3" applyFont="1" applyFill="1"/>
    <xf numFmtId="164" fontId="0" fillId="6" borderId="0" xfId="2" applyNumberFormat="1" applyFont="1" applyFill="1"/>
    <xf numFmtId="168" fontId="0" fillId="6" borderId="0" xfId="2" applyNumberFormat="1" applyFont="1" applyFill="1"/>
    <xf numFmtId="0" fontId="0" fillId="6" borderId="0" xfId="0" applyFill="1" applyAlignment="1">
      <alignment horizontal="right"/>
    </xf>
    <xf numFmtId="0" fontId="0" fillId="6" borderId="0" xfId="0" applyFill="1"/>
    <xf numFmtId="0" fontId="13" fillId="3" borderId="0" xfId="0" applyFont="1" applyFill="1"/>
    <xf numFmtId="0" fontId="13" fillId="6" borderId="0" xfId="0" applyFont="1" applyFill="1" applyAlignment="1">
      <alignment horizontal="right"/>
    </xf>
    <xf numFmtId="168" fontId="13" fillId="6" borderId="0" xfId="4" applyFont="1"/>
    <xf numFmtId="168" fontId="13" fillId="3" borderId="0" xfId="4" applyFont="1" applyFill="1"/>
    <xf numFmtId="170" fontId="13" fillId="6" borderId="0" xfId="2" applyNumberFormat="1" applyFont="1" applyFill="1"/>
    <xf numFmtId="170" fontId="13" fillId="3" borderId="0" xfId="2" applyNumberFormat="1" applyFont="1" applyFill="1"/>
    <xf numFmtId="0" fontId="13" fillId="3" borderId="0" xfId="0" applyFont="1" applyFill="1" applyAlignment="1">
      <alignment horizontal="right"/>
    </xf>
    <xf numFmtId="10" fontId="13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167" fontId="13" fillId="3" borderId="0" xfId="3" applyNumberFormat="1" applyFont="1" applyFill="1" applyAlignment="1">
      <alignment horizontal="right"/>
    </xf>
    <xf numFmtId="1" fontId="0" fillId="3" borderId="0" xfId="0" applyNumberFormat="1" applyFill="1"/>
    <xf numFmtId="165" fontId="0" fillId="6" borderId="0" xfId="2" applyNumberFormat="1" applyFont="1" applyFill="1"/>
    <xf numFmtId="165" fontId="0" fillId="6" borderId="5" xfId="2" applyNumberFormat="1" applyFont="1" applyFill="1" applyBorder="1"/>
    <xf numFmtId="165" fontId="6" fillId="6" borderId="0" xfId="2" applyNumberFormat="1" applyFont="1" applyFill="1" applyAlignment="1">
      <alignment horizontal="right"/>
    </xf>
    <xf numFmtId="166" fontId="0" fillId="6" borderId="0" xfId="2" applyNumberFormat="1" applyFont="1" applyFill="1"/>
    <xf numFmtId="166" fontId="6" fillId="6" borderId="0" xfId="2" applyNumberFormat="1" applyFont="1" applyFill="1" applyAlignment="1">
      <alignment horizontal="right"/>
    </xf>
    <xf numFmtId="169" fontId="5" fillId="3" borderId="0" xfId="2" applyNumberFormat="1" applyFont="1" applyFill="1"/>
    <xf numFmtId="10" fontId="0" fillId="2" borderId="1" xfId="3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7" fontId="0" fillId="3" borderId="0" xfId="3" applyNumberFormat="1" applyFont="1" applyFill="1" applyProtection="1">
      <protection locked="0"/>
    </xf>
    <xf numFmtId="164" fontId="0" fillId="3" borderId="0" xfId="2" applyNumberFormat="1" applyFont="1" applyFill="1" applyProtection="1">
      <protection locked="0"/>
    </xf>
    <xf numFmtId="168" fontId="0" fillId="3" borderId="0" xfId="2" applyNumberFormat="1" applyFont="1" applyFill="1" applyProtection="1">
      <protection locked="0"/>
    </xf>
    <xf numFmtId="9" fontId="0" fillId="3" borderId="0" xfId="3" applyFont="1" applyFill="1" applyProtection="1">
      <protection locked="0"/>
    </xf>
    <xf numFmtId="164" fontId="0" fillId="2" borderId="1" xfId="1" applyNumberFormat="1" applyFont="1" applyProtection="1">
      <protection locked="0"/>
    </xf>
    <xf numFmtId="10" fontId="0" fillId="2" borderId="1" xfId="2" applyNumberFormat="1" applyFont="1" applyFill="1" applyBorder="1" applyProtection="1">
      <protection locked="0"/>
    </xf>
    <xf numFmtId="43" fontId="0" fillId="2" borderId="1" xfId="2" applyFont="1" applyFill="1" applyBorder="1" applyProtection="1">
      <protection locked="0"/>
    </xf>
    <xf numFmtId="0" fontId="14" fillId="3" borderId="0" xfId="0" applyFont="1" applyFill="1"/>
  </cellXfs>
  <cellStyles count="5">
    <cellStyle name="Comma" xfId="2" builtinId="3"/>
    <cellStyle name="Normal" xfId="0" builtinId="0"/>
    <cellStyle name="Note" xfId="1" builtinId="10"/>
    <cellStyle name="Percent" xfId="3" builtinId="5"/>
    <cellStyle name="Style 1" xfId="4" xr:uid="{CAA3948D-C561-4D3F-977D-B4A6D04E8389}"/>
  </cellStyles>
  <dxfs count="14"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rgb="FFFF0000"/>
      </font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Moss/Downloads/Anexo%20DCF%20Model%201908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 Statement Model"/>
      <sheetName val="Regressions &amp; Inputs"/>
      <sheetName val="DCF Model"/>
      <sheetName val="WACC"/>
      <sheetName val="Data&gt;&gt;&gt;"/>
      <sheetName val="P&amp;L"/>
      <sheetName val="BS"/>
      <sheetName val="CF"/>
    </sheetNames>
    <sheetDataSet>
      <sheetData sheetId="0">
        <row r="115">
          <cell r="J115">
            <v>0</v>
          </cell>
          <cell r="K115">
            <v>7.6879999999999997</v>
          </cell>
          <cell r="L115">
            <v>17.536000000000001</v>
          </cell>
          <cell r="M115">
            <v>25.783999999999999</v>
          </cell>
          <cell r="N115">
            <v>24.341000000000001</v>
          </cell>
        </row>
        <row r="118">
          <cell r="J118">
            <v>0.21485799999999999</v>
          </cell>
          <cell r="K118">
            <v>5.4749999999999996</v>
          </cell>
          <cell r="L118">
            <v>0.87</v>
          </cell>
          <cell r="M118">
            <v>5.4219999999999997</v>
          </cell>
          <cell r="N118">
            <v>12.625999999999999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197F-FF69-4E37-AEBC-95A85D315F7C}">
  <dimension ref="A1:E23"/>
  <sheetViews>
    <sheetView workbookViewId="0">
      <selection activeCell="E11" sqref="E11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5" ht="33.6" x14ac:dyDescent="0.65">
      <c r="B1" s="88" t="s">
        <v>187</v>
      </c>
    </row>
    <row r="2" spans="1:5" s="15" customFormat="1" ht="15" thickBot="1" x14ac:dyDescent="0.35">
      <c r="A2" s="13"/>
      <c r="B2" s="14" t="str">
        <f>UPPER(cover!E8&amp;" - "&amp;DAY(cover!E12)&amp;"/"&amp;MONTH(cover!E12)&amp;"/"&amp;YEAR(cover!E12))</f>
        <v>ANEXO GROUP PLC - 13/5/2023</v>
      </c>
      <c r="E2" s="13"/>
    </row>
    <row r="3" spans="1:5" ht="15" thickTop="1" x14ac:dyDescent="0.3">
      <c r="B3" s="25" t="str">
        <f>IF(checks!E10&lt;&gt;0,"**ERROR**","")</f>
        <v/>
      </c>
    </row>
    <row r="4" spans="1:5" s="3" customFormat="1" x14ac:dyDescent="0.3">
      <c r="A4" s="5"/>
      <c r="B4" s="2" t="s">
        <v>2</v>
      </c>
      <c r="E4" s="4"/>
    </row>
    <row r="6" spans="1:5" x14ac:dyDescent="0.3">
      <c r="B6" s="2" t="s">
        <v>5</v>
      </c>
      <c r="C6" s="3"/>
      <c r="D6" s="3"/>
      <c r="E6" s="4"/>
    </row>
    <row r="8" spans="1:5" x14ac:dyDescent="0.3">
      <c r="B8" s="1" t="s">
        <v>0</v>
      </c>
      <c r="D8" s="6"/>
      <c r="E8" s="9" t="s">
        <v>154</v>
      </c>
    </row>
    <row r="9" spans="1:5" x14ac:dyDescent="0.3">
      <c r="B9" s="1" t="s">
        <v>1</v>
      </c>
      <c r="D9" s="6"/>
      <c r="E9" s="9" t="s">
        <v>155</v>
      </c>
    </row>
    <row r="10" spans="1:5" x14ac:dyDescent="0.3">
      <c r="B10" s="1" t="s">
        <v>3</v>
      </c>
      <c r="D10" s="6"/>
      <c r="E10" s="9" t="s">
        <v>4</v>
      </c>
    </row>
    <row r="11" spans="1:5" x14ac:dyDescent="0.3">
      <c r="B11" s="1" t="s">
        <v>7</v>
      </c>
      <c r="D11" s="6"/>
      <c r="E11" s="10">
        <v>45059</v>
      </c>
    </row>
    <row r="12" spans="1:5" x14ac:dyDescent="0.3">
      <c r="B12" s="1" t="s">
        <v>145</v>
      </c>
      <c r="D12" s="7"/>
      <c r="E12" s="10">
        <v>45059</v>
      </c>
    </row>
    <row r="13" spans="1:5" x14ac:dyDescent="0.3">
      <c r="B13" s="1" t="s">
        <v>139</v>
      </c>
      <c r="D13" s="7"/>
      <c r="E13" s="10">
        <v>44926</v>
      </c>
    </row>
    <row r="14" spans="1:5" x14ac:dyDescent="0.3">
      <c r="B14" s="1" t="s">
        <v>43</v>
      </c>
      <c r="D14" s="27"/>
      <c r="E14" s="28">
        <f>IF(DATE(0,MONTH(E12),DAY(E12))&gt;DATE(0,MONTH(E21),DAY(E21)),DATE(YEAR(E12),MONTH(D21),DAY(D21)),DATE(YEAR(E12)-1,MONTH(D23),DAY(D23)))</f>
        <v>44926</v>
      </c>
    </row>
    <row r="16" spans="1:5" x14ac:dyDescent="0.3">
      <c r="B16" s="2" t="s">
        <v>6</v>
      </c>
      <c r="C16" s="3"/>
      <c r="D16" s="3"/>
      <c r="E16" s="4"/>
    </row>
    <row r="18" spans="2:5" x14ac:dyDescent="0.3">
      <c r="D18" s="8" t="s">
        <v>12</v>
      </c>
      <c r="E18" s="8" t="s">
        <v>14</v>
      </c>
    </row>
    <row r="19" spans="2:5" x14ac:dyDescent="0.3">
      <c r="D19" s="8" t="s">
        <v>13</v>
      </c>
      <c r="E19" s="8" t="s">
        <v>13</v>
      </c>
    </row>
    <row r="20" spans="2:5" x14ac:dyDescent="0.3">
      <c r="B20" s="1" t="s">
        <v>8</v>
      </c>
      <c r="D20" s="11">
        <v>44286</v>
      </c>
      <c r="E20" s="11"/>
    </row>
    <row r="21" spans="2:5" x14ac:dyDescent="0.3">
      <c r="B21" s="1" t="s">
        <v>11</v>
      </c>
      <c r="D21" s="12">
        <f>EOMONTH(D20,3)</f>
        <v>44377</v>
      </c>
      <c r="E21" s="11">
        <v>44824</v>
      </c>
    </row>
    <row r="22" spans="2:5" x14ac:dyDescent="0.3">
      <c r="B22" s="1" t="s">
        <v>9</v>
      </c>
      <c r="D22" s="12">
        <f>EOMONTH(D21,3)</f>
        <v>44469</v>
      </c>
      <c r="E22" s="11"/>
    </row>
    <row r="23" spans="2:5" x14ac:dyDescent="0.3">
      <c r="B23" s="1" t="s">
        <v>10</v>
      </c>
      <c r="D23" s="12">
        <f>EOMONTH(D22,3)</f>
        <v>44561</v>
      </c>
      <c r="E23" s="11">
        <v>44661</v>
      </c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D1BF-557B-48BE-A054-77E8CACF84E6}">
  <dimension ref="A1:R91"/>
  <sheetViews>
    <sheetView tabSelected="1" zoomScale="66" zoomScaleNormal="89" workbookViewId="0">
      <selection activeCell="L32" sqref="L32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1" width="12.6640625" style="1" customWidth="1"/>
    <col min="52" max="16384" width="9.109375" style="1"/>
  </cols>
  <sheetData>
    <row r="1" spans="1:18" ht="35.4" customHeight="1" x14ac:dyDescent="0.65">
      <c r="B1" s="88" t="s">
        <v>187</v>
      </c>
    </row>
    <row r="2" spans="1:18" s="15" customFormat="1" ht="15" thickBot="1" x14ac:dyDescent="0.35">
      <c r="A2" s="13"/>
      <c r="B2" s="14" t="str">
        <f>UPPER(cover!E8&amp;" - "&amp;DAY(cover!E12)&amp;"/"&amp;MONTH(cover!E12)&amp;"/"&amp;YEAR(cover!E12))</f>
        <v>ANEXO GROUP PLC - 13/5/2023</v>
      </c>
      <c r="E2" s="13"/>
    </row>
    <row r="3" spans="1:18" ht="15" thickTop="1" x14ac:dyDescent="0.3">
      <c r="B3" s="25" t="str">
        <f>IF(checks!E10&lt;&gt;0,"**ERROR**","")</f>
        <v/>
      </c>
    </row>
    <row r="4" spans="1:18" s="3" customFormat="1" x14ac:dyDescent="0.3">
      <c r="A4" s="5"/>
      <c r="B4" s="2" t="s">
        <v>161</v>
      </c>
      <c r="E4" s="4"/>
    </row>
    <row r="5" spans="1:18" x14ac:dyDescent="0.3">
      <c r="B5" s="40"/>
    </row>
    <row r="6" spans="1:18" x14ac:dyDescent="0.3">
      <c r="B6" s="2" t="s">
        <v>161</v>
      </c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">
      <c r="E7" s="1"/>
    </row>
    <row r="8" spans="1:18" x14ac:dyDescent="0.3">
      <c r="B8" s="1" t="s">
        <v>116</v>
      </c>
      <c r="D8" s="79">
        <f>WACC!I25</f>
        <v>0.11437825119638192</v>
      </c>
      <c r="E8" s="1"/>
      <c r="F8" s="62" t="s">
        <v>177</v>
      </c>
    </row>
    <row r="9" spans="1:18" x14ac:dyDescent="0.3">
      <c r="B9" s="1" t="s">
        <v>117</v>
      </c>
      <c r="D9" s="79">
        <v>0.02</v>
      </c>
      <c r="E9" s="1"/>
      <c r="F9" s="21" t="s">
        <v>183</v>
      </c>
      <c r="G9" s="21"/>
      <c r="H9" s="78">
        <f>($D$13*$D$12/10^8-$D$83)/SUM($K$46:$L$46)*2</f>
        <v>5.6565532427076475</v>
      </c>
    </row>
    <row r="10" spans="1:18" x14ac:dyDescent="0.3">
      <c r="B10" s="1" t="s">
        <v>118</v>
      </c>
      <c r="D10" s="16">
        <f>cover!E12</f>
        <v>45059</v>
      </c>
      <c r="E10" s="1"/>
      <c r="F10" s="21" t="s">
        <v>182</v>
      </c>
      <c r="G10" s="21"/>
      <c r="H10" s="78">
        <f>($D$13*$D$12/10^8-$D$83)/SUM($M$46)</f>
        <v>5.4222182152309299</v>
      </c>
    </row>
    <row r="11" spans="1:18" x14ac:dyDescent="0.3">
      <c r="B11" s="1" t="s">
        <v>139</v>
      </c>
      <c r="D11" s="16">
        <f>cover!E13</f>
        <v>44926</v>
      </c>
      <c r="F11" s="21" t="s">
        <v>181</v>
      </c>
      <c r="G11" s="21"/>
      <c r="H11" s="78">
        <f>($D$13*$D$12/10^8-$D$83)/SUM($N$46)</f>
        <v>5.3795587666727842</v>
      </c>
    </row>
    <row r="12" spans="1:18" x14ac:dyDescent="0.3">
      <c r="B12" s="1" t="s">
        <v>160</v>
      </c>
      <c r="D12" s="43">
        <f>WACC!E14</f>
        <v>91.55</v>
      </c>
      <c r="F12" s="21" t="s">
        <v>178</v>
      </c>
      <c r="G12" s="62"/>
      <c r="H12" s="78">
        <f>($D$13*$D$12/10^8-$D$83)/SUM($K$44:$L$44)*2</f>
        <v>4.3779297991309045</v>
      </c>
      <c r="I12" s="69"/>
    </row>
    <row r="13" spans="1:18" x14ac:dyDescent="0.3">
      <c r="B13" s="1" t="s">
        <v>119</v>
      </c>
      <c r="D13" s="80">
        <v>118000000</v>
      </c>
      <c r="F13" s="21" t="s">
        <v>180</v>
      </c>
      <c r="G13" s="21"/>
      <c r="H13" s="78">
        <f>($D$13*$D$12/10^8-$D$83)/SUM($M$44)</f>
        <v>4.2500087438698708</v>
      </c>
    </row>
    <row r="14" spans="1:18" x14ac:dyDescent="0.3">
      <c r="B14" s="40"/>
      <c r="F14" s="21" t="s">
        <v>179</v>
      </c>
      <c r="G14" s="21"/>
      <c r="H14" s="78">
        <f>($D$13*$D$12/10^8-$D$83)/SUM($N$44)</f>
        <v>4.1666752390881099</v>
      </c>
    </row>
    <row r="15" spans="1:18" x14ac:dyDescent="0.3">
      <c r="B15" s="40" t="s">
        <v>174</v>
      </c>
      <c r="D15" s="70">
        <f>summary!H82</f>
        <v>91.55</v>
      </c>
      <c r="E15" s="1"/>
      <c r="F15" s="21" t="s">
        <v>184</v>
      </c>
      <c r="G15" s="21"/>
      <c r="H15" s="78">
        <f>($D$13*$D$12/10^8)/SUM($K$48:$L$48)*2</f>
        <v>5.4617797772398742</v>
      </c>
    </row>
    <row r="16" spans="1:18" x14ac:dyDescent="0.3">
      <c r="B16" s="40" t="s">
        <v>176</v>
      </c>
      <c r="D16" s="70">
        <f>summary!D91</f>
        <v>122.99397928006003</v>
      </c>
      <c r="E16" s="1"/>
      <c r="F16" s="21" t="s">
        <v>185</v>
      </c>
      <c r="G16" s="21"/>
      <c r="H16" s="78">
        <f>($D$13*$D$12/10^8)/SUM($M$48)</f>
        <v>5.35062118836208</v>
      </c>
    </row>
    <row r="17" spans="2:18" x14ac:dyDescent="0.3">
      <c r="B17" s="62" t="s">
        <v>173</v>
      </c>
      <c r="D17" s="71">
        <f>1-D15/D16</f>
        <v>0.25565462199138544</v>
      </c>
      <c r="E17" s="1"/>
      <c r="F17" s="21" t="s">
        <v>186</v>
      </c>
      <c r="G17" s="21"/>
      <c r="H17" s="78">
        <f>($D$13*$D$12/10^8)/SUM($N$48)</f>
        <v>5.3238937971216256</v>
      </c>
    </row>
    <row r="18" spans="2:18" x14ac:dyDescent="0.3">
      <c r="B18" s="40"/>
    </row>
    <row r="19" spans="2:18" x14ac:dyDescent="0.3">
      <c r="B19" s="1" t="s">
        <v>18</v>
      </c>
      <c r="E19" s="16">
        <f>'detailed-financials'!E6</f>
        <v>42735</v>
      </c>
      <c r="F19" s="16">
        <f>'detailed-financials'!F6</f>
        <v>43100</v>
      </c>
      <c r="G19" s="16">
        <f>'detailed-financials'!G6</f>
        <v>43465</v>
      </c>
      <c r="H19" s="16">
        <f>'detailed-financials'!H6</f>
        <v>43830</v>
      </c>
      <c r="I19" s="16">
        <f>'detailed-financials'!I6</f>
        <v>44196</v>
      </c>
      <c r="J19" s="16">
        <f>'detailed-financials'!J6</f>
        <v>44561</v>
      </c>
      <c r="K19" s="16">
        <f>'detailed-financials'!K6</f>
        <v>44926</v>
      </c>
      <c r="L19" s="16">
        <f>'detailed-financials'!L6</f>
        <v>45291</v>
      </c>
      <c r="M19" s="16">
        <f>'detailed-financials'!M6</f>
        <v>45657</v>
      </c>
      <c r="N19" s="16">
        <f>'detailed-financials'!N6</f>
        <v>46022</v>
      </c>
      <c r="O19" s="16">
        <f>'detailed-financials'!O6</f>
        <v>46387</v>
      </c>
      <c r="P19" s="16">
        <f>'detailed-financials'!P6</f>
        <v>46752</v>
      </c>
      <c r="Q19" s="16">
        <f>'detailed-financials'!Q6</f>
        <v>47118</v>
      </c>
      <c r="R19" s="16">
        <f>'detailed-financials'!R6</f>
        <v>47483</v>
      </c>
    </row>
    <row r="20" spans="2:18" x14ac:dyDescent="0.3">
      <c r="B20" s="1" t="s">
        <v>57</v>
      </c>
      <c r="E20" s="1">
        <f>'detailed-financials'!E7</f>
        <v>12</v>
      </c>
      <c r="F20" s="1">
        <f>'detailed-financials'!F7</f>
        <v>12</v>
      </c>
      <c r="G20" s="1">
        <f>'detailed-financials'!G7</f>
        <v>12</v>
      </c>
      <c r="H20" s="1">
        <f>'detailed-financials'!H7</f>
        <v>12</v>
      </c>
      <c r="I20" s="1">
        <f>'detailed-financials'!I7</f>
        <v>12</v>
      </c>
      <c r="J20" s="1">
        <f>'detailed-financials'!J7</f>
        <v>12</v>
      </c>
      <c r="K20" s="1">
        <f>'detailed-financials'!K7</f>
        <v>12</v>
      </c>
      <c r="L20" s="1">
        <f>'detailed-financials'!L7</f>
        <v>12</v>
      </c>
      <c r="M20" s="1">
        <f>'detailed-financials'!M7</f>
        <v>12</v>
      </c>
      <c r="N20" s="1">
        <f>'detailed-financials'!N7</f>
        <v>12</v>
      </c>
      <c r="O20" s="1">
        <f>'detailed-financials'!O7</f>
        <v>12</v>
      </c>
      <c r="P20" s="1">
        <f>'detailed-financials'!P7</f>
        <v>12</v>
      </c>
      <c r="Q20" s="1">
        <f>'detailed-financials'!Q7</f>
        <v>12</v>
      </c>
      <c r="R20" s="1">
        <f>'detailed-financials'!R7</f>
        <v>12</v>
      </c>
    </row>
    <row r="21" spans="2:18" x14ac:dyDescent="0.3">
      <c r="B21" s="40"/>
    </row>
    <row r="22" spans="2:18" x14ac:dyDescent="0.3">
      <c r="B22" s="2" t="s">
        <v>188</v>
      </c>
      <c r="C22" s="3"/>
      <c r="D22" s="5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  <c r="R22" s="5"/>
    </row>
    <row r="23" spans="2:18" x14ac:dyDescent="0.3">
      <c r="D23" s="24"/>
      <c r="F23" s="8"/>
    </row>
    <row r="24" spans="2:18" x14ac:dyDescent="0.3">
      <c r="B24" s="1" t="s">
        <v>87</v>
      </c>
      <c r="E24" s="56"/>
      <c r="F24" s="56">
        <f>('detailed-financials'!F43*(12/'detailed-financials'!F$7))/'detailed-financials'!E43-1</f>
        <v>0.16166406030334524</v>
      </c>
      <c r="G24" s="56">
        <f>('detailed-financials'!G43*(12/'detailed-financials'!G$7))/'detailed-financials'!F43-1</f>
        <v>0.24729592512471865</v>
      </c>
      <c r="H24" s="56">
        <f>('detailed-financials'!H43*(12/'detailed-financials'!H$7))/'detailed-financials'!G43-1</f>
        <v>0.38943456331298121</v>
      </c>
      <c r="I24" s="56">
        <f>('detailed-financials'!I43*(12/'detailed-financials'!I$7))/'detailed-financials'!H43-1</f>
        <v>0.10498025729206462</v>
      </c>
      <c r="J24" s="56">
        <f>('detailed-financials'!J43*(12/'detailed-financials'!J$7))/'detailed-financials'!I43-1</f>
        <v>0.36293111398008127</v>
      </c>
      <c r="K24" s="56">
        <f>('detailed-financials'!K43*(12/'detailed-financials'!K$7))/'detailed-financials'!J43-1</f>
        <v>0.16992988658372599</v>
      </c>
      <c r="L24" s="81">
        <v>0.02</v>
      </c>
      <c r="M24" s="81">
        <v>0.02</v>
      </c>
      <c r="N24" s="81">
        <v>0.02</v>
      </c>
      <c r="O24" s="81">
        <v>0.02</v>
      </c>
      <c r="P24" s="81">
        <v>0.02</v>
      </c>
      <c r="Q24" s="81">
        <v>0.02</v>
      </c>
      <c r="R24" s="81">
        <v>0.02</v>
      </c>
    </row>
    <row r="25" spans="2:18" x14ac:dyDescent="0.3">
      <c r="B25" s="1" t="s">
        <v>86</v>
      </c>
      <c r="E25" s="56">
        <f>'detailed-financials'!E45/'detailed-financials'!E43</f>
        <v>0.78005810884568128</v>
      </c>
      <c r="F25" s="56">
        <f>'detailed-financials'!F45/'detailed-financials'!F43</f>
        <v>0.7494812591055583</v>
      </c>
      <c r="G25" s="56">
        <f>'detailed-financials'!G45/'detailed-financials'!G43</f>
        <v>0.71386602955490663</v>
      </c>
      <c r="H25" s="56">
        <f>'detailed-financials'!H45/'detailed-financials'!H43</f>
        <v>0.79998726276907395</v>
      </c>
      <c r="I25" s="56">
        <f>'detailed-financials'!I45/'detailed-financials'!I43</f>
        <v>0.78329029878273704</v>
      </c>
      <c r="J25" s="56">
        <f>'detailed-financials'!J45/'detailed-financials'!J43</f>
        <v>0.77370873753562763</v>
      </c>
      <c r="K25" s="56">
        <f>'detailed-financials'!K45/'detailed-financials'!K43</f>
        <v>0.76466973664235272</v>
      </c>
      <c r="L25" s="81">
        <f>K25</f>
        <v>0.76466973664235272</v>
      </c>
      <c r="M25" s="81">
        <f t="shared" ref="M25:Q27" si="0">L25</f>
        <v>0.76466973664235272</v>
      </c>
      <c r="N25" s="81">
        <f t="shared" si="0"/>
        <v>0.76466973664235272</v>
      </c>
      <c r="O25" s="81">
        <f t="shared" si="0"/>
        <v>0.76466973664235272</v>
      </c>
      <c r="P25" s="81">
        <f t="shared" si="0"/>
        <v>0.76466973664235272</v>
      </c>
      <c r="Q25" s="81">
        <f t="shared" si="0"/>
        <v>0.76466973664235272</v>
      </c>
      <c r="R25" s="81">
        <v>0.76743983225861234</v>
      </c>
    </row>
    <row r="26" spans="2:18" x14ac:dyDescent="0.3">
      <c r="B26" s="1" t="s">
        <v>88</v>
      </c>
      <c r="E26" s="56">
        <f>-('detailed-financials'!E46+'detailed-financials'!E47)/'detailed-financials'!E43</f>
        <v>0.42261034391815583</v>
      </c>
      <c r="F26" s="56">
        <f>-('detailed-financials'!F46+'detailed-financials'!F47)/'detailed-financials'!F43</f>
        <v>0.39996026665489381</v>
      </c>
      <c r="G26" s="56">
        <f>-('detailed-financials'!G46+'detailed-financials'!G47)/'detailed-financials'!G43</f>
        <v>0.38895672949296523</v>
      </c>
      <c r="H26" s="56">
        <f>-('detailed-financials'!H46+'detailed-financials'!H47)/'detailed-financials'!H43</f>
        <v>0.40290408865112726</v>
      </c>
      <c r="I26" s="56">
        <f>-('detailed-financials'!I46+'detailed-financials'!I47)/'detailed-financials'!I43</f>
        <v>0.49842078568793802</v>
      </c>
      <c r="J26" s="56">
        <f>-('detailed-financials'!J46+'detailed-financials'!J47)/'detailed-financials'!J43</f>
        <v>0.46931163679728005</v>
      </c>
      <c r="K26" s="56">
        <f>-('detailed-financials'!K46+'detailed-financials'!K47)/'detailed-financials'!K43</f>
        <v>0.46849901322210091</v>
      </c>
      <c r="L26" s="81">
        <f>K26</f>
        <v>0.46849901322210091</v>
      </c>
      <c r="M26" s="81">
        <f>L26</f>
        <v>0.46849901322210091</v>
      </c>
      <c r="N26" s="81">
        <f t="shared" si="0"/>
        <v>0.46849901322210091</v>
      </c>
      <c r="O26" s="81">
        <f t="shared" si="0"/>
        <v>0.46849901322210091</v>
      </c>
      <c r="P26" s="81">
        <f t="shared" si="0"/>
        <v>0.46849901322210091</v>
      </c>
      <c r="Q26" s="81">
        <f t="shared" si="0"/>
        <v>0.46849901322210091</v>
      </c>
      <c r="R26" s="81">
        <f t="shared" ref="R26:R27" si="1">Q26</f>
        <v>0.46849901322210091</v>
      </c>
    </row>
    <row r="27" spans="2:18" x14ac:dyDescent="0.3">
      <c r="B27" s="1" t="s">
        <v>91</v>
      </c>
      <c r="E27" s="56"/>
      <c r="F27" s="56">
        <f>-'detailed-financials'!F49*(12/'detailed-financials'!F7)/('detailed-financials'!E18)</f>
        <v>0.79147374494133715</v>
      </c>
      <c r="G27" s="56">
        <f>-'detailed-financials'!G49*(12/'detailed-financials'!G7)/('detailed-financials'!F18)</f>
        <v>1.0355263157894736</v>
      </c>
      <c r="H27" s="56">
        <f>-'detailed-financials'!H49*(12/'detailed-financials'!H7)/('detailed-financials'!G18)</f>
        <v>2.0128440366972478</v>
      </c>
      <c r="I27" s="56">
        <f>-'detailed-financials'!I49*(12/'detailed-financials'!I7)/('detailed-financials'!H18)</f>
        <v>0.57100008569714633</v>
      </c>
      <c r="J27" s="56">
        <f>-'detailed-financials'!J49*(12/'detailed-financials'!J7)/('detailed-financials'!I18)</f>
        <v>0.55741194684556827</v>
      </c>
      <c r="K27" s="56">
        <f>-'detailed-financials'!K49*(12/'detailed-financials'!K7)/('detailed-financials'!J18)</f>
        <v>0.55092665100495952</v>
      </c>
      <c r="L27" s="81">
        <f>K27</f>
        <v>0.55092665100495952</v>
      </c>
      <c r="M27" s="81">
        <f>L27</f>
        <v>0.55092665100495952</v>
      </c>
      <c r="N27" s="81">
        <f t="shared" si="0"/>
        <v>0.55092665100495952</v>
      </c>
      <c r="O27" s="81">
        <f t="shared" si="0"/>
        <v>0.55092665100495952</v>
      </c>
      <c r="P27" s="81">
        <f t="shared" si="0"/>
        <v>0.55092665100495952</v>
      </c>
      <c r="Q27" s="81">
        <f t="shared" si="0"/>
        <v>0.55092665100495952</v>
      </c>
      <c r="R27" s="81">
        <f t="shared" si="1"/>
        <v>0.55092665100495952</v>
      </c>
    </row>
    <row r="28" spans="2:18" x14ac:dyDescent="0.3">
      <c r="B28" s="1" t="s">
        <v>89</v>
      </c>
      <c r="E28" s="56"/>
      <c r="F28" s="56">
        <f>-('detailed-financials'!F51*12/'detailed-financials'!F7)/AVERAGE('detailed-financials'!E25:F25)</f>
        <v>7.3554376193857046E-2</v>
      </c>
      <c r="G28" s="56">
        <f>-('detailed-financials'!G51*12/'detailed-financials'!G7)/AVERAGE('detailed-financials'!F25:G25)</f>
        <v>6.9055085685324216E-2</v>
      </c>
      <c r="H28" s="56">
        <f>-('detailed-financials'!H51*12/'detailed-financials'!H7)/AVERAGE('detailed-financials'!G25:H25)</f>
        <v>8.8768846246875754E-2</v>
      </c>
      <c r="I28" s="56">
        <f>-('detailed-financials'!I51*12/'detailed-financials'!I7)/AVERAGE('detailed-financials'!H25:I25)</f>
        <v>7.5161720915905117E-2</v>
      </c>
      <c r="J28" s="56">
        <f>-('detailed-financials'!J51*12/'detailed-financials'!J7)/AVERAGE('detailed-financials'!I25:J25)</f>
        <v>6.7653435702017026E-2</v>
      </c>
      <c r="K28" s="56">
        <f>-('detailed-financials'!K51*12/'detailed-financials'!K7)/AVERAGE('detailed-financials'!J25:K25)</f>
        <v>8.3334980790647703E-2</v>
      </c>
      <c r="L28" s="81">
        <f>MAX(F28:K28)</f>
        <v>8.8768846246875754E-2</v>
      </c>
      <c r="M28" s="81">
        <f>L28</f>
        <v>8.8768846246875754E-2</v>
      </c>
      <c r="N28" s="81">
        <f t="shared" ref="N28:R28" si="2">M28</f>
        <v>8.8768846246875754E-2</v>
      </c>
      <c r="O28" s="81">
        <f t="shared" si="2"/>
        <v>8.8768846246875754E-2</v>
      </c>
      <c r="P28" s="81">
        <f t="shared" si="2"/>
        <v>8.8768846246875754E-2</v>
      </c>
      <c r="Q28" s="81">
        <f t="shared" si="2"/>
        <v>8.8768846246875754E-2</v>
      </c>
      <c r="R28" s="81">
        <f t="shared" si="2"/>
        <v>8.8768846246875754E-2</v>
      </c>
    </row>
    <row r="29" spans="2:18" x14ac:dyDescent="0.3">
      <c r="B29" s="1" t="s">
        <v>90</v>
      </c>
      <c r="E29" s="57">
        <f>-'detailed-financials'!E54/'detailed-financials'!E53</f>
        <v>0.1770992822623999</v>
      </c>
      <c r="F29" s="57">
        <f>-'detailed-financials'!F54/'detailed-financials'!F53</f>
        <v>0.14367027842545602</v>
      </c>
      <c r="G29" s="57">
        <f>-'detailed-financials'!G54/'detailed-financials'!G53</f>
        <v>0.20155418650238027</v>
      </c>
      <c r="H29" s="57">
        <f>-'detailed-financials'!H54/'detailed-financials'!H53</f>
        <v>0.196641507748649</v>
      </c>
      <c r="I29" s="57">
        <f>-'detailed-financials'!I54/'detailed-financials'!I53</f>
        <v>0.20486828512396693</v>
      </c>
      <c r="J29" s="57">
        <f>-'detailed-financials'!J54/'detailed-financials'!J53</f>
        <v>0.1936326118083046</v>
      </c>
      <c r="K29" s="57">
        <f>-'detailed-financials'!K54/'detailed-financials'!K53</f>
        <v>0.19159091852405255</v>
      </c>
      <c r="L29" s="81">
        <v>0.25</v>
      </c>
      <c r="M29" s="81">
        <v>0.25</v>
      </c>
      <c r="N29" s="81">
        <v>0.25</v>
      </c>
      <c r="O29" s="81">
        <v>0.25</v>
      </c>
      <c r="P29" s="81">
        <v>0.25</v>
      </c>
      <c r="Q29" s="81">
        <v>0.25</v>
      </c>
      <c r="R29" s="81">
        <v>0.25</v>
      </c>
    </row>
    <row r="30" spans="2:18" x14ac:dyDescent="0.3">
      <c r="B30" s="1" t="s">
        <v>92</v>
      </c>
      <c r="E30" s="58">
        <f>'detailed-financials'!E13/'detailed-financials'!E43*365*'detailed-financials'!E7/12</f>
        <v>142.17611831833858</v>
      </c>
      <c r="F30" s="58">
        <f>'detailed-financials'!F13/'detailed-financials'!F43*365*'detailed-financials'!F7/12</f>
        <v>0</v>
      </c>
      <c r="G30" s="58">
        <f>'detailed-financials'!G13/'detailed-financials'!G43*365*'detailed-financials'!G7/12</f>
        <v>0</v>
      </c>
      <c r="H30" s="58">
        <f>'detailed-financials'!H13/'detailed-financials'!H43*365*'detailed-financials'!H7/12</f>
        <v>0</v>
      </c>
      <c r="I30" s="58">
        <f>'detailed-financials'!I13/'detailed-financials'!I43*365*'detailed-financials'!I7/12</f>
        <v>0</v>
      </c>
      <c r="J30" s="58">
        <f>'detailed-financials'!J13/'detailed-financials'!J43*365*'detailed-financials'!J7/12</f>
        <v>0</v>
      </c>
      <c r="K30" s="58">
        <f>'detailed-financials'!K13/'detailed-financials'!K43*365*'detailed-financials'!K7/12</f>
        <v>0</v>
      </c>
      <c r="L30" s="82"/>
      <c r="M30" s="82"/>
      <c r="N30" s="82"/>
      <c r="O30" s="82"/>
      <c r="P30" s="82"/>
      <c r="Q30" s="82"/>
      <c r="R30" s="82"/>
    </row>
    <row r="31" spans="2:18" x14ac:dyDescent="0.3">
      <c r="B31" s="1" t="s">
        <v>93</v>
      </c>
      <c r="E31" s="58">
        <f>'detailed-financials'!E14/'detailed-financials'!E43*365*'detailed-financials'!E7/12</f>
        <v>493.07999280979647</v>
      </c>
      <c r="F31" s="58">
        <f>'detailed-financials'!F14/'detailed-financials'!F43*365*'detailed-financials'!F7/12</f>
        <v>647.95516754227197</v>
      </c>
      <c r="G31" s="58">
        <f>'detailed-financials'!G14/'detailed-financials'!G43*365*'detailed-financials'!G7/12</f>
        <v>651.33492611273323</v>
      </c>
      <c r="H31" s="58">
        <f>'detailed-financials'!H14/'detailed-financials'!H43*365*'detailed-financials'!H7/12</f>
        <v>589.56960896701048</v>
      </c>
      <c r="I31" s="58">
        <f>'detailed-financials'!I14/'detailed-financials'!I43*365*'detailed-financials'!I7/12</f>
        <v>621.74370619697527</v>
      </c>
      <c r="J31" s="58">
        <f>'detailed-financials'!J14/'detailed-financials'!J43*365*'detailed-financials'!J7/12</f>
        <v>580.77344655226364</v>
      </c>
      <c r="K31" s="58">
        <f>'detailed-financials'!K14/'detailed-financials'!K43*365*'detailed-financials'!K7/12</f>
        <v>586.49509502707315</v>
      </c>
      <c r="L31" s="82">
        <f>AVERAGE(H31:K31)</f>
        <v>594.64546418583063</v>
      </c>
      <c r="M31" s="82">
        <f t="shared" ref="M31:R31" si="3">L31</f>
        <v>594.64546418583063</v>
      </c>
      <c r="N31" s="82">
        <f t="shared" si="3"/>
        <v>594.64546418583063</v>
      </c>
      <c r="O31" s="82">
        <f t="shared" si="3"/>
        <v>594.64546418583063</v>
      </c>
      <c r="P31" s="82">
        <f t="shared" si="3"/>
        <v>594.64546418583063</v>
      </c>
      <c r="Q31" s="82">
        <f t="shared" si="3"/>
        <v>594.64546418583063</v>
      </c>
      <c r="R31" s="82">
        <f t="shared" si="3"/>
        <v>594.64546418583063</v>
      </c>
    </row>
    <row r="32" spans="2:18" x14ac:dyDescent="0.3">
      <c r="B32" s="1" t="s">
        <v>94</v>
      </c>
      <c r="E32" s="58">
        <f>-'detailed-financials'!E22/'detailed-financials'!E44*365*'detailed-financials'!E7/12</f>
        <v>939.51773687987372</v>
      </c>
      <c r="F32" s="58">
        <f>-'detailed-financials'!F22/'detailed-financials'!F44*365*'detailed-financials'!F7/12</f>
        <v>434.82245131729661</v>
      </c>
      <c r="G32" s="58">
        <f>-'detailed-financials'!G22/'detailed-financials'!G44*365*'detailed-financials'!G7/12</f>
        <v>362.11034141514102</v>
      </c>
      <c r="H32" s="58">
        <f>-'detailed-financials'!H22/'detailed-financials'!H44*365*'detailed-financials'!H7/12</f>
        <v>436.35897599184881</v>
      </c>
      <c r="I32" s="58">
        <f>-'detailed-financials'!I22/'detailed-financials'!I44*365*'detailed-financials'!I7/12</f>
        <v>480.84867021276585</v>
      </c>
      <c r="J32" s="58">
        <f>-'detailed-financials'!J22/'detailed-financials'!J44*365*'detailed-financials'!J7/12</f>
        <v>233.69767528778593</v>
      </c>
      <c r="K32" s="58">
        <f>-'detailed-financials'!K22/'detailed-financials'!K44*365*'detailed-financials'!K7/12</f>
        <v>205.04269959757934</v>
      </c>
      <c r="L32" s="82">
        <f>K32</f>
        <v>205.04269959757934</v>
      </c>
      <c r="M32" s="82">
        <f t="shared" ref="M32:R32" si="4">L32</f>
        <v>205.04269959757934</v>
      </c>
      <c r="N32" s="82">
        <f t="shared" si="4"/>
        <v>205.04269959757934</v>
      </c>
      <c r="O32" s="82">
        <f t="shared" si="4"/>
        <v>205.04269959757934</v>
      </c>
      <c r="P32" s="82">
        <f t="shared" si="4"/>
        <v>205.04269959757934</v>
      </c>
      <c r="Q32" s="82">
        <f t="shared" si="4"/>
        <v>205.04269959757934</v>
      </c>
      <c r="R32" s="82">
        <f t="shared" si="4"/>
        <v>205.04269959757934</v>
      </c>
    </row>
    <row r="33" spans="2:18" x14ac:dyDescent="0.3">
      <c r="B33" s="1" t="s">
        <v>95</v>
      </c>
      <c r="E33" s="59">
        <f>'detailed-financials'!E25/('detailed-financials'!E48*12/'detailed-financials'!E7)</f>
        <v>1.5413530301614022E-2</v>
      </c>
      <c r="F33" s="59">
        <f>'detailed-financials'!F25/('detailed-financials'!F48*12/'detailed-financials'!F7)</f>
        <v>0.83131236579512424</v>
      </c>
      <c r="G33" s="59">
        <f>'detailed-financials'!G25/('detailed-financials'!G48*12/'detailed-financials'!G7)</f>
        <v>1.0025600522904299</v>
      </c>
      <c r="H33" s="59">
        <f>'detailed-financials'!H25/('detailed-financials'!H48*12/'detailed-financials'!H7)</f>
        <v>1.0009943865276663</v>
      </c>
      <c r="I33" s="59">
        <f>'detailed-financials'!I25/('detailed-financials'!I48*12/'detailed-financials'!I7)</f>
        <v>1.4958523853842105</v>
      </c>
      <c r="J33" s="59">
        <f>'detailed-financials'!J25/('detailed-financials'!J48*12/'detailed-financials'!J7)</f>
        <v>1.9331499541552062</v>
      </c>
      <c r="K33" s="59">
        <f>'detailed-financials'!K25/('detailed-financials'!K48*12/'detailed-financials'!K7)</f>
        <v>2.005736044326198</v>
      </c>
      <c r="L33" s="83">
        <v>1.7320764249299592</v>
      </c>
      <c r="M33" s="83">
        <v>1.7320764249299592</v>
      </c>
      <c r="N33" s="83">
        <v>1.7320764249299592</v>
      </c>
      <c r="O33" s="83">
        <v>1.7320764249299592</v>
      </c>
      <c r="P33" s="83">
        <v>1.7320764249299592</v>
      </c>
      <c r="Q33" s="83">
        <v>1.7320764249299592</v>
      </c>
      <c r="R33" s="83">
        <v>1.7320764249299592</v>
      </c>
    </row>
    <row r="34" spans="2:18" x14ac:dyDescent="0.3">
      <c r="B34" s="1" t="s">
        <v>96</v>
      </c>
      <c r="E34" s="57">
        <f>-('detailed-financials'!E85+'detailed-financials'!E84)/'detailed-financials'!E55</f>
        <v>0.18024004490302734</v>
      </c>
      <c r="F34" s="57">
        <f>-('detailed-financials'!F85+'detailed-financials'!F84)/'detailed-financials'!F55</f>
        <v>0.29638824377352441</v>
      </c>
      <c r="G34" s="57">
        <f>-('detailed-financials'!G85+'detailed-financials'!G84)/'detailed-financials'!G55</f>
        <v>7.1898290223586139E-2</v>
      </c>
      <c r="H34" s="57">
        <f>-('detailed-financials'!H85+'detailed-financials'!H84)/'detailed-financials'!H55</f>
        <v>0.15287969757616188</v>
      </c>
      <c r="I34" s="57">
        <f>-('detailed-financials'!I85+'detailed-financials'!I84)/'detailed-financials'!I55</f>
        <v>9.419407226958991E-2</v>
      </c>
      <c r="J34" s="57">
        <f>-('detailed-financials'!J85+'detailed-financials'!J84)/'detailed-financials'!J55</f>
        <v>9.0871109254230226E-2</v>
      </c>
      <c r="K34" s="57">
        <f>-('detailed-financials'!K85+'detailed-financials'!K84)/'detailed-financials'!K55</f>
        <v>6.0584278893053317E-2</v>
      </c>
      <c r="L34" s="84"/>
      <c r="M34" s="81"/>
      <c r="N34" s="81"/>
      <c r="O34" s="81"/>
      <c r="P34" s="81"/>
      <c r="Q34" s="81"/>
      <c r="R34" s="81"/>
    </row>
    <row r="35" spans="2:18" x14ac:dyDescent="0.3">
      <c r="B35" s="1" t="s">
        <v>97</v>
      </c>
      <c r="E35" s="57">
        <f>'detailed-financials'!E58/'detailed-financials'!E55</f>
        <v>0</v>
      </c>
      <c r="F35" s="57">
        <f>'detailed-financials'!F58/'detailed-financials'!F55</f>
        <v>0</v>
      </c>
      <c r="G35" s="57">
        <f>'detailed-financials'!G58/'detailed-financials'!G55</f>
        <v>0</v>
      </c>
      <c r="H35" s="57">
        <f>'detailed-financials'!H58/'detailed-financials'!H55</f>
        <v>0</v>
      </c>
      <c r="I35" s="57">
        <f>'detailed-financials'!I58/'detailed-financials'!I55</f>
        <v>0</v>
      </c>
      <c r="J35" s="57">
        <f>'detailed-financials'!J58/'detailed-financials'!J55</f>
        <v>0</v>
      </c>
      <c r="K35" s="57">
        <f>'detailed-financials'!K58/'detailed-financials'!K55</f>
        <v>0</v>
      </c>
      <c r="L35" s="84"/>
      <c r="M35" s="84"/>
      <c r="N35" s="84"/>
      <c r="O35" s="84"/>
      <c r="P35" s="84"/>
      <c r="Q35" s="84"/>
      <c r="R35" s="84"/>
    </row>
    <row r="36" spans="2:18" x14ac:dyDescent="0.3">
      <c r="B36" s="1" t="s">
        <v>98</v>
      </c>
      <c r="E36" s="58">
        <f>-SUM('detailed-financials'!E77:E78)</f>
        <v>0.64147600000000005</v>
      </c>
      <c r="F36" s="58">
        <f>-SUM('detailed-financials'!F77:F78)</f>
        <v>1.29</v>
      </c>
      <c r="G36" s="58">
        <f>-SUM('detailed-financials'!G77:G78)</f>
        <v>3.323</v>
      </c>
      <c r="H36" s="58">
        <f>-SUM('detailed-financials'!H77:H78)</f>
        <v>7.1520000000000001</v>
      </c>
      <c r="I36" s="58">
        <f>-SUM('detailed-financials'!I77:I78)</f>
        <v>6.673</v>
      </c>
      <c r="J36" s="58">
        <f>-SUM('detailed-financials'!J77:J78)</f>
        <v>8.6989999999999998</v>
      </c>
      <c r="K36" s="58">
        <f>-SUM('detailed-financials'!K77:K78)</f>
        <v>9.8819999999999997</v>
      </c>
      <c r="L36" s="82">
        <f>K36*(1+L24)</f>
        <v>10.079639999999999</v>
      </c>
      <c r="M36" s="82">
        <f>L36*(1+M24)</f>
        <v>10.2812328</v>
      </c>
      <c r="N36" s="82">
        <f t="shared" ref="N36:R36" si="5">M36*(1+N24)</f>
        <v>10.486857455999999</v>
      </c>
      <c r="O36" s="82">
        <f t="shared" si="5"/>
        <v>10.69659460512</v>
      </c>
      <c r="P36" s="82">
        <f t="shared" si="5"/>
        <v>10.910526497222399</v>
      </c>
      <c r="Q36" s="82">
        <f t="shared" si="5"/>
        <v>11.128737027166848</v>
      </c>
      <c r="R36" s="82">
        <f t="shared" si="5"/>
        <v>11.351311767710184</v>
      </c>
    </row>
    <row r="37" spans="2:18" x14ac:dyDescent="0.3">
      <c r="B37" s="1" t="s">
        <v>192</v>
      </c>
      <c r="E37" s="56">
        <f>'detailed-financials'!E$50*(1-E$29)/SUM('detailed-financials'!E20,-'detailed-financials'!E22)*(12/'detailed-financials'!E$7)</f>
        <v>0.23617327022568646</v>
      </c>
      <c r="F37" s="56">
        <f>'detailed-financials'!F$50*(1-F$29)/SUM('detailed-financials'!F20,-'detailed-financials'!F22)*(12/'detailed-financials'!F$7)</f>
        <v>0.1876344824916735</v>
      </c>
      <c r="G37" s="56">
        <f>'detailed-financials'!G$50*(1-G$29)/SUM('detailed-financials'!G20,-'detailed-financials'!G22)*(12/'detailed-financials'!G$7)</f>
        <v>0.14226026706675246</v>
      </c>
      <c r="H37" s="56">
        <f>'detailed-financials'!H$50*(1-H$29)/SUM('detailed-financials'!H20,-'detailed-financials'!H22)*(12/'detailed-financials'!H$7)</f>
        <v>0.16071221468379351</v>
      </c>
      <c r="I37" s="56">
        <f>'detailed-financials'!I$50*(1-I$29)/SUM('detailed-financials'!I20,-'detailed-financials'!I22)*(12/'detailed-financials'!I$7)</f>
        <v>9.7344136502454576E-2</v>
      </c>
      <c r="J37" s="56">
        <f>'detailed-financials'!J$50*(1-J$29)/SUM('detailed-financials'!J20,-'detailed-financials'!J22)*(12/'detailed-financials'!J$7)</f>
        <v>0.11147917458774548</v>
      </c>
      <c r="K37" s="56">
        <f>'detailed-financials'!K$50*(1-K$29)/SUM('detailed-financials'!K20,-'detailed-financials'!K22)*(12/'detailed-financials'!K$7)</f>
        <v>0.1075841411239999</v>
      </c>
      <c r="L37" s="81">
        <f>'detailed-financials'!L$50*(1-L$29)/SUM('detailed-financials'!L20,-'detailed-financials'!L22)*(12/'detailed-financials'!L$7)</f>
        <v>0.10561845140329366</v>
      </c>
      <c r="M37" s="81">
        <f>'detailed-financials'!M$50*(1-M$29)/SUM('detailed-financials'!M20,-'detailed-financials'!M22)*(12/'detailed-financials'!M$7)</f>
        <v>9.6196222555697722E-2</v>
      </c>
      <c r="N37" s="81">
        <f>'detailed-financials'!N$50*(1-N$29)/SUM('detailed-financials'!N20,-'detailed-financials'!N22)*(12/'detailed-financials'!N$7)</f>
        <v>8.9481198241424406E-2</v>
      </c>
      <c r="O37" s="81">
        <f>'detailed-financials'!O$50*(1-O$29)/SUM('detailed-financials'!O20,-'detailed-financials'!O22)*(12/'detailed-financials'!O$7)</f>
        <v>8.4205967161082543E-2</v>
      </c>
      <c r="P37" s="81">
        <f>'detailed-financials'!P$50*(1-P$29)/SUM('detailed-financials'!P20,-'detailed-financials'!P22)*(12/'detailed-financials'!P$7)</f>
        <v>7.9802967393658483E-2</v>
      </c>
      <c r="Q37" s="81">
        <f>'detailed-financials'!Q$50*(1-Q$29)/SUM('detailed-financials'!Q20,-'detailed-financials'!Q22)*(12/'detailed-financials'!Q$7)</f>
        <v>7.599637291780352E-2</v>
      </c>
      <c r="R37" s="81">
        <f>'detailed-financials'!R$50*(1-R$29)/SUM('detailed-financials'!R20,-'detailed-financials'!R22)*(12/'detailed-financials'!R$7)</f>
        <v>7.3312826195437164E-2</v>
      </c>
    </row>
    <row r="38" spans="2:18" x14ac:dyDescent="0.3">
      <c r="B38" s="40"/>
    </row>
    <row r="39" spans="2:18" x14ac:dyDescent="0.3">
      <c r="B39" s="2" t="s">
        <v>189</v>
      </c>
      <c r="C39" s="3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5"/>
      <c r="P39" s="5"/>
      <c r="Q39" s="5"/>
      <c r="R39" s="5"/>
    </row>
    <row r="40" spans="2:18" x14ac:dyDescent="0.3">
      <c r="B40" s="40"/>
    </row>
    <row r="41" spans="2:18" x14ac:dyDescent="0.3">
      <c r="B41" s="48" t="s">
        <v>46</v>
      </c>
      <c r="C41" s="48"/>
      <c r="D41" s="48"/>
      <c r="E41" s="52">
        <f>'detailed-financials'!E43</f>
        <v>38.997504999999997</v>
      </c>
      <c r="F41" s="52">
        <f>'detailed-financials'!F43</f>
        <v>45.302</v>
      </c>
      <c r="G41" s="52">
        <f>'detailed-financials'!G43</f>
        <v>56.505000000000003</v>
      </c>
      <c r="H41" s="52">
        <f>'detailed-financials'!H43</f>
        <v>78.510000000000005</v>
      </c>
      <c r="I41" s="52">
        <f>'detailed-financials'!I43</f>
        <v>86.751999999999995</v>
      </c>
      <c r="J41" s="52">
        <f>'detailed-financials'!J43</f>
        <v>118.23699999999999</v>
      </c>
      <c r="K41" s="52">
        <f>'detailed-financials'!K43</f>
        <v>138.32900000000001</v>
      </c>
      <c r="L41" s="49">
        <f>'detailed-financials'!L43</f>
        <v>141.09558000000001</v>
      </c>
      <c r="M41" s="49">
        <f>'detailed-financials'!M43</f>
        <v>143.91749160000001</v>
      </c>
      <c r="N41" s="49">
        <f>'detailed-financials'!N43</f>
        <v>146.795841432</v>
      </c>
      <c r="O41" s="49">
        <f>'detailed-financials'!O43</f>
        <v>149.73175826063999</v>
      </c>
      <c r="P41" s="49">
        <f>'detailed-financials'!P43</f>
        <v>152.72639342585279</v>
      </c>
      <c r="Q41" s="49">
        <f>'detailed-financials'!Q43</f>
        <v>155.78092129436985</v>
      </c>
      <c r="R41" s="49">
        <f>'detailed-financials'!R43</f>
        <v>158.89653972025724</v>
      </c>
    </row>
    <row r="42" spans="2:18" x14ac:dyDescent="0.3">
      <c r="B42" s="40" t="s">
        <v>48</v>
      </c>
      <c r="C42" s="40"/>
      <c r="D42" s="40"/>
      <c r="E42" s="53">
        <f>'detailed-financials'!E45</f>
        <v>30.420319999999997</v>
      </c>
      <c r="F42" s="53">
        <f>'detailed-financials'!F45</f>
        <v>33.953000000000003</v>
      </c>
      <c r="G42" s="53">
        <f>'detailed-financials'!G45</f>
        <v>40.337000000000003</v>
      </c>
      <c r="H42" s="53">
        <f>'detailed-financials'!H45</f>
        <v>62.807000000000002</v>
      </c>
      <c r="I42" s="53">
        <f>'detailed-financials'!I45</f>
        <v>67.951999999999998</v>
      </c>
      <c r="J42" s="53">
        <f>'detailed-financials'!J45</f>
        <v>91.480999999999995</v>
      </c>
      <c r="K42" s="53">
        <f>'detailed-financials'!K45</f>
        <v>105.77600000000001</v>
      </c>
      <c r="L42" s="46">
        <f>'detailed-financials'!L45</f>
        <v>107.89152000000001</v>
      </c>
      <c r="M42" s="46">
        <f>'detailed-financials'!M45</f>
        <v>110.04935040000001</v>
      </c>
      <c r="N42" s="46">
        <f>'detailed-financials'!N45</f>
        <v>112.25033740800001</v>
      </c>
      <c r="O42" s="46">
        <f>'detailed-financials'!O45</f>
        <v>114.49534415616</v>
      </c>
      <c r="P42" s="46">
        <f>'detailed-financials'!P45</f>
        <v>116.7852510392832</v>
      </c>
      <c r="Q42" s="46">
        <f>'detailed-financials'!Q45</f>
        <v>119.12095606006886</v>
      </c>
      <c r="R42" s="46">
        <f>'detailed-financials'!R45</f>
        <v>121.94353378938814</v>
      </c>
    </row>
    <row r="43" spans="2:18" x14ac:dyDescent="0.3">
      <c r="B43" s="50" t="s">
        <v>163</v>
      </c>
      <c r="C43" s="50"/>
      <c r="D43" s="50"/>
      <c r="E43" s="54">
        <f>E42/E$41</f>
        <v>0.78005810884568128</v>
      </c>
      <c r="F43" s="54">
        <f t="shared" ref="F43:R43" si="6">F42/F$41</f>
        <v>0.7494812591055583</v>
      </c>
      <c r="G43" s="54">
        <f t="shared" si="6"/>
        <v>0.71386602955490663</v>
      </c>
      <c r="H43" s="54">
        <f t="shared" si="6"/>
        <v>0.79998726276907395</v>
      </c>
      <c r="I43" s="54">
        <f t="shared" si="6"/>
        <v>0.78329029878273704</v>
      </c>
      <c r="J43" s="54">
        <f t="shared" si="6"/>
        <v>0.77370873753562763</v>
      </c>
      <c r="K43" s="54">
        <f t="shared" si="6"/>
        <v>0.76466973664235272</v>
      </c>
      <c r="L43" s="51">
        <f t="shared" si="6"/>
        <v>0.76466973664235272</v>
      </c>
      <c r="M43" s="51">
        <f t="shared" si="6"/>
        <v>0.76466973664235272</v>
      </c>
      <c r="N43" s="51">
        <f t="shared" si="6"/>
        <v>0.76466973664235272</v>
      </c>
      <c r="O43" s="51">
        <f t="shared" si="6"/>
        <v>0.76466973664235272</v>
      </c>
      <c r="P43" s="51">
        <f t="shared" si="6"/>
        <v>0.76466973664235272</v>
      </c>
      <c r="Q43" s="51">
        <f t="shared" si="6"/>
        <v>0.76466973664235272</v>
      </c>
      <c r="R43" s="51">
        <f t="shared" si="6"/>
        <v>0.76743983225861234</v>
      </c>
    </row>
    <row r="44" spans="2:18" x14ac:dyDescent="0.3">
      <c r="B44" s="40" t="s">
        <v>50</v>
      </c>
      <c r="C44" s="40"/>
      <c r="D44" s="40"/>
      <c r="E44" s="53">
        <f>'detailed-financials'!E48</f>
        <v>13.939570999999997</v>
      </c>
      <c r="F44" s="53">
        <f>'detailed-financials'!F48</f>
        <v>15.834000000000003</v>
      </c>
      <c r="G44" s="53">
        <f>'detailed-financials'!G48</f>
        <v>18.359000000000002</v>
      </c>
      <c r="H44" s="53">
        <f>'detailed-financials'!H48</f>
        <v>31.175000000000001</v>
      </c>
      <c r="I44" s="53">
        <f>'detailed-financials'!I48</f>
        <v>24.713000000000001</v>
      </c>
      <c r="J44" s="53">
        <f>'detailed-financials'!J48</f>
        <v>35.990999999999993</v>
      </c>
      <c r="K44" s="53">
        <f>'detailed-financials'!K48</f>
        <v>40.969000000000008</v>
      </c>
      <c r="L44" s="46">
        <f>'detailed-financials'!L48</f>
        <v>41.788380000000018</v>
      </c>
      <c r="M44" s="46">
        <f>'detailed-financials'!M48</f>
        <v>42.624147600000015</v>
      </c>
      <c r="N44" s="46">
        <f>'detailed-financials'!N48</f>
        <v>43.476630552000003</v>
      </c>
      <c r="O44" s="46">
        <f>'detailed-financials'!O48</f>
        <v>44.346163163040003</v>
      </c>
      <c r="P44" s="46">
        <f>'detailed-financials'!P48</f>
        <v>45.233086426300801</v>
      </c>
      <c r="Q44" s="46">
        <f>'detailed-financials'!Q48</f>
        <v>46.137748154826824</v>
      </c>
      <c r="R44" s="46">
        <f>'detailed-financials'!R48</f>
        <v>47.500661726041258</v>
      </c>
    </row>
    <row r="45" spans="2:18" x14ac:dyDescent="0.3">
      <c r="B45" s="50" t="s">
        <v>165</v>
      </c>
      <c r="C45" s="50"/>
      <c r="D45" s="50"/>
      <c r="E45" s="54">
        <f>E44/E$41</f>
        <v>0.35744776492752545</v>
      </c>
      <c r="F45" s="54">
        <f t="shared" ref="F45" si="7">F44/F$41</f>
        <v>0.34952099245066448</v>
      </c>
      <c r="G45" s="54">
        <f t="shared" ref="G45" si="8">G44/G$41</f>
        <v>0.32490930006194146</v>
      </c>
      <c r="H45" s="54">
        <f t="shared" ref="H45" si="9">H44/H$41</f>
        <v>0.39708317411794675</v>
      </c>
      <c r="I45" s="54">
        <f t="shared" ref="I45" si="10">I44/I$41</f>
        <v>0.28486951309479902</v>
      </c>
      <c r="J45" s="54">
        <f t="shared" ref="J45" si="11">J44/J$41</f>
        <v>0.30439710073834753</v>
      </c>
      <c r="K45" s="54">
        <f t="shared" ref="K45" si="12">K44/K$41</f>
        <v>0.29617072342025175</v>
      </c>
      <c r="L45" s="51">
        <f t="shared" ref="L45" si="13">L44/L$41</f>
        <v>0.2961707234202518</v>
      </c>
      <c r="M45" s="51">
        <f t="shared" ref="M45" si="14">M44/M$41</f>
        <v>0.2961707234202518</v>
      </c>
      <c r="N45" s="51">
        <f t="shared" ref="N45" si="15">N44/N$41</f>
        <v>0.29617072342025175</v>
      </c>
      <c r="O45" s="51">
        <f t="shared" ref="O45" si="16">O44/O$41</f>
        <v>0.29617072342025175</v>
      </c>
      <c r="P45" s="51">
        <f t="shared" ref="P45" si="17">P44/P$41</f>
        <v>0.29617072342025175</v>
      </c>
      <c r="Q45" s="51">
        <f t="shared" ref="Q45" si="18">Q44/Q$41</f>
        <v>0.2961707234202518</v>
      </c>
      <c r="R45" s="51">
        <f t="shared" ref="R45" si="19">R44/R$41</f>
        <v>0.29894081903651137</v>
      </c>
    </row>
    <row r="46" spans="2:18" x14ac:dyDescent="0.3">
      <c r="B46" s="40" t="s">
        <v>52</v>
      </c>
      <c r="C46" s="40"/>
      <c r="D46" s="40"/>
      <c r="E46" s="53">
        <f>'detailed-financials'!E50</f>
        <v>13.486476999999997</v>
      </c>
      <c r="F46" s="53">
        <f>'detailed-financials'!F50</f>
        <v>15.074000000000003</v>
      </c>
      <c r="G46" s="53">
        <f>'detailed-financials'!G50</f>
        <v>16.785</v>
      </c>
      <c r="H46" s="53">
        <f>'detailed-financials'!H50</f>
        <v>24.593</v>
      </c>
      <c r="I46" s="53">
        <f>'detailed-financials'!I50</f>
        <v>18.05</v>
      </c>
      <c r="J46" s="53">
        <f>'detailed-financials'!J50</f>
        <v>27.349999999999994</v>
      </c>
      <c r="K46" s="53">
        <f>'detailed-financials'!K50</f>
        <v>30.416000000000007</v>
      </c>
      <c r="L46" s="46">
        <f>'detailed-financials'!L50</f>
        <v>33.634665565126618</v>
      </c>
      <c r="M46" s="46">
        <f>'detailed-financials'!M50</f>
        <v>33.409389443446585</v>
      </c>
      <c r="N46" s="46">
        <f>'detailed-financials'!N50</f>
        <v>33.674323091750843</v>
      </c>
      <c r="O46" s="46">
        <f>'detailed-financials'!O50</f>
        <v>34.166718866186372</v>
      </c>
      <c r="P46" s="46">
        <f>'detailed-financials'!P50</f>
        <v>34.768730242047795</v>
      </c>
      <c r="Q46" s="46">
        <f>'detailed-financials'!Q50</f>
        <v>35.427584854271757</v>
      </c>
      <c r="R46" s="46">
        <f>'detailed-financials'!R50</f>
        <v>36.559895004085291</v>
      </c>
    </row>
    <row r="47" spans="2:18" x14ac:dyDescent="0.3">
      <c r="B47" s="50" t="s">
        <v>169</v>
      </c>
      <c r="C47" s="50"/>
      <c r="D47" s="50"/>
      <c r="E47" s="54">
        <f>E46/E$41</f>
        <v>0.34582922676719957</v>
      </c>
      <c r="F47" s="54">
        <f t="shared" ref="F47" si="20">F46/F$41</f>
        <v>0.33274469118361227</v>
      </c>
      <c r="G47" s="54">
        <f t="shared" ref="G47" si="21">G46/G$41</f>
        <v>0.29705335810990174</v>
      </c>
      <c r="H47" s="54">
        <f t="shared" ref="H47" si="22">H46/H$41</f>
        <v>0.31324672016303656</v>
      </c>
      <c r="I47" s="54">
        <f t="shared" ref="I47" si="23">I46/I$41</f>
        <v>0.20806436739210626</v>
      </c>
      <c r="J47" s="54">
        <f t="shared" ref="J47" si="24">J46/J$41</f>
        <v>0.23131507057858366</v>
      </c>
      <c r="K47" s="54">
        <f t="shared" ref="K47" si="25">K46/K$41</f>
        <v>0.21988158665211205</v>
      </c>
      <c r="L47" s="51">
        <f t="shared" ref="L47" si="26">L46/L$41</f>
        <v>0.23838213475664238</v>
      </c>
      <c r="M47" s="51">
        <f t="shared" ref="M47" si="27">M46/M$41</f>
        <v>0.23214266085392629</v>
      </c>
      <c r="N47" s="51">
        <f t="shared" ref="N47" si="28">N46/N$41</f>
        <v>0.22939562022504395</v>
      </c>
      <c r="O47" s="51">
        <f t="shared" ref="O47" si="29">O46/O$41</f>
        <v>0.22818618617108555</v>
      </c>
      <c r="P47" s="51">
        <f t="shared" ref="P47" si="30">P46/P$41</f>
        <v>0.22765371107206614</v>
      </c>
      <c r="Q47" s="51">
        <f t="shared" ref="Q47" si="31">Q46/Q$41</f>
        <v>0.22741927933091613</v>
      </c>
      <c r="R47" s="51">
        <f t="shared" ref="R47" si="32">R46/R$41</f>
        <v>0.23008616215589231</v>
      </c>
    </row>
    <row r="48" spans="2:18" x14ac:dyDescent="0.3">
      <c r="B48" s="40" t="s">
        <v>55</v>
      </c>
      <c r="C48" s="40"/>
      <c r="D48" s="40"/>
      <c r="E48" s="53">
        <f>'detailed-financials'!E55</f>
        <v>11.208152999999996</v>
      </c>
      <c r="F48" s="53">
        <f>'detailed-financials'!F55</f>
        <v>12.487000000000004</v>
      </c>
      <c r="G48" s="53">
        <f>'detailed-financials'!G55</f>
        <v>11.405000000000001</v>
      </c>
      <c r="H48" s="53">
        <f>'detailed-financials'!H55</f>
        <v>17.988</v>
      </c>
      <c r="I48" s="53">
        <f>'detailed-financials'!I55</f>
        <v>12.315000000000001</v>
      </c>
      <c r="J48" s="53">
        <f>'detailed-financials'!J55</f>
        <v>19.147999999999996</v>
      </c>
      <c r="K48" s="53">
        <f>'detailed-financials'!K55</f>
        <v>19.477000000000007</v>
      </c>
      <c r="L48" s="46">
        <f>'detailed-financials'!L55</f>
        <v>20.081167632526828</v>
      </c>
      <c r="M48" s="46">
        <f>'detailed-financials'!M55</f>
        <v>20.189992189125537</v>
      </c>
      <c r="N48" s="46">
        <f>'detailed-financials'!N55</f>
        <v>20.291351427484543</v>
      </c>
      <c r="O48" s="46">
        <f>'detailed-financials'!O55</f>
        <v>20.56136044048462</v>
      </c>
      <c r="P48" s="46">
        <f>'detailed-financials'!P55</f>
        <v>20.911595398197584</v>
      </c>
      <c r="Q48" s="46">
        <f>'detailed-financials'!Q55</f>
        <v>21.302437311698789</v>
      </c>
      <c r="R48" s="46">
        <f>'detailed-financials'!R55</f>
        <v>22.020926272200647</v>
      </c>
    </row>
    <row r="49" spans="2:18" x14ac:dyDescent="0.3">
      <c r="B49" s="21" t="s">
        <v>164</v>
      </c>
      <c r="C49" s="21"/>
      <c r="D49" s="21"/>
      <c r="E49" s="55">
        <f>E48/E$41</f>
        <v>0.28740692513533872</v>
      </c>
      <c r="F49" s="55">
        <f t="shared" ref="F49" si="33">F48/F$41</f>
        <v>0.27563904463379107</v>
      </c>
      <c r="G49" s="55">
        <f t="shared" ref="G49" si="34">G48/G$41</f>
        <v>0.2018405450845058</v>
      </c>
      <c r="H49" s="55">
        <f t="shared" ref="H49" si="35">H48/H$41</f>
        <v>0.22911730989682841</v>
      </c>
      <c r="I49" s="55">
        <f t="shared" ref="I49" si="36">I48/I$41</f>
        <v>0.14195638140907416</v>
      </c>
      <c r="J49" s="55">
        <f t="shared" ref="J49" si="37">J48/J$41</f>
        <v>0.16194592217326215</v>
      </c>
      <c r="K49" s="55">
        <f t="shared" ref="K49" si="38">K48/K$41</f>
        <v>0.14080200102653823</v>
      </c>
      <c r="L49" s="47">
        <f t="shared" ref="L49" si="39">L48/L$41</f>
        <v>0.1423231516715607</v>
      </c>
      <c r="M49" s="47">
        <f t="shared" ref="M49" si="40">M48/M$41</f>
        <v>0.14028866098667839</v>
      </c>
      <c r="N49" s="47">
        <f t="shared" ref="N49" si="41">N48/N$41</f>
        <v>0.13822838051501665</v>
      </c>
      <c r="O49" s="47">
        <f t="shared" ref="O49" si="42">O48/O$41</f>
        <v>0.13732130497454786</v>
      </c>
      <c r="P49" s="47">
        <f t="shared" ref="P49" si="43">P48/P$41</f>
        <v>0.13692194865028331</v>
      </c>
      <c r="Q49" s="47">
        <f t="shared" ref="Q49" si="44">Q48/Q$41</f>
        <v>0.13674612484442081</v>
      </c>
      <c r="R49" s="47">
        <f t="shared" ref="R49" si="45">R48/R$41</f>
        <v>0.13858656904026503</v>
      </c>
    </row>
    <row r="50" spans="2:18" x14ac:dyDescent="0.3">
      <c r="B50" s="40"/>
    </row>
    <row r="51" spans="2:18" x14ac:dyDescent="0.3">
      <c r="B51" s="62" t="s">
        <v>166</v>
      </c>
      <c r="C51" s="62"/>
      <c r="D51" s="62"/>
      <c r="E51" s="66"/>
      <c r="F51" s="66">
        <f>'detailed-financials'!F61</f>
        <v>11.1</v>
      </c>
      <c r="G51" s="66">
        <f>'detailed-financials'!G61</f>
        <v>10.199999999999999</v>
      </c>
      <c r="H51" s="66">
        <f>'detailed-financials'!H61</f>
        <v>16</v>
      </c>
      <c r="I51" s="66">
        <f>'detailed-financials'!I61</f>
        <v>10.6</v>
      </c>
      <c r="J51" s="66">
        <f>'detailed-financials'!J61</f>
        <v>16.2</v>
      </c>
      <c r="K51" s="66">
        <f>'detailed-financials'!K61</f>
        <v>16.600000000000001</v>
      </c>
      <c r="L51" s="67">
        <f>'detailed-financials'!L61</f>
        <v>17.017938671632905</v>
      </c>
      <c r="M51" s="67">
        <f>'detailed-financials'!M61</f>
        <v>17.110162872140286</v>
      </c>
      <c r="N51" s="67">
        <f>'detailed-financials'!N61</f>
        <v>17.196060531766562</v>
      </c>
      <c r="O51" s="67">
        <f>'detailed-financials'!O61</f>
        <v>17.424881729224253</v>
      </c>
      <c r="P51" s="67">
        <f>'detailed-financials'!P61</f>
        <v>17.72169101542168</v>
      </c>
      <c r="Q51" s="67">
        <f>'detailed-financials'!Q61</f>
        <v>18.052912976015921</v>
      </c>
      <c r="R51" s="67">
        <f>'detailed-financials'!R61</f>
        <v>18.661801925593767</v>
      </c>
    </row>
    <row r="52" spans="2:18" x14ac:dyDescent="0.3">
      <c r="B52" s="62" t="s">
        <v>167</v>
      </c>
      <c r="C52" s="62"/>
      <c r="D52" s="62"/>
      <c r="E52" s="63"/>
      <c r="F52" s="64">
        <f>WACC!$E$14/F51*F20/12</f>
        <v>8.2477477477477485</v>
      </c>
      <c r="G52" s="64">
        <f>WACC!$E$14/G51*G20/12</f>
        <v>8.9754901960784323</v>
      </c>
      <c r="H52" s="64">
        <f>WACC!$E$14/H51*H20/12</f>
        <v>5.7218749999999998</v>
      </c>
      <c r="I52" s="64">
        <f>WACC!$E$14/I51*I20/12</f>
        <v>8.6367924528301891</v>
      </c>
      <c r="J52" s="64">
        <f>WACC!$E$14/J51*J20/12</f>
        <v>5.651234567901235</v>
      </c>
      <c r="K52" s="64">
        <f>WACC!$E$14/K51*K20/12</f>
        <v>5.5150602409638552</v>
      </c>
      <c r="L52" s="65">
        <f>WACC!$E$14/L51*L20/12</f>
        <v>5.3796174593462434</v>
      </c>
      <c r="M52" s="65">
        <f>WACC!$E$14/M51*M20/12</f>
        <v>5.35062118836208</v>
      </c>
      <c r="N52" s="65">
        <f>WACC!$E$14/N51*N20/12</f>
        <v>5.3238937971216256</v>
      </c>
      <c r="O52" s="65">
        <f>WACC!$E$14/O51*O20/12</f>
        <v>5.2539811416026039</v>
      </c>
      <c r="P52" s="65">
        <f>WACC!$E$14/P51*P20/12</f>
        <v>5.1659855665202503</v>
      </c>
      <c r="Q52" s="65">
        <f>WACC!$E$14/Q51*Q20/12</f>
        <v>5.0712037509751555</v>
      </c>
      <c r="R52" s="65">
        <f>WACC!$E$14/R51*R20/12</f>
        <v>4.9057427768774868</v>
      </c>
    </row>
    <row r="54" spans="2:18" x14ac:dyDescent="0.3">
      <c r="B54" s="62" t="s">
        <v>171</v>
      </c>
      <c r="C54" s="62"/>
      <c r="D54" s="62"/>
      <c r="E54" s="64">
        <f>SUM(WACC!$E$13,-summary!$D$83)/E46*E20/12</f>
        <v>13.431528485904812</v>
      </c>
      <c r="F54" s="64">
        <f>SUM(WACC!$E$13,-summary!$D$83)/F46*F20/12</f>
        <v>12.016982884436777</v>
      </c>
      <c r="G54" s="64">
        <f>SUM(WACC!$E$13,-summary!$D$83)/G46*G20/12</f>
        <v>10.792016681560918</v>
      </c>
      <c r="H54" s="64">
        <f>SUM(WACC!$E$13,-summary!$D$83)/H46*H20/12</f>
        <v>7.365673159028991</v>
      </c>
      <c r="I54" s="64">
        <f>SUM(WACC!$E$13,-summary!$D$83)/I46*I20/12</f>
        <v>10.035678670360111</v>
      </c>
      <c r="J54" s="64">
        <f>SUM(WACC!$E$13,-summary!$D$83)/J46*J20/12</f>
        <v>6.6231809872029261</v>
      </c>
      <c r="K54" s="64">
        <f>SUM(WACC!$E$13,-summary!$D$83)/K46*K20/12</f>
        <v>5.9555497106785893</v>
      </c>
      <c r="L54" s="65">
        <f>SUM(WACC!$E$13,-summary!$D$83)/L46*L20/12</f>
        <v>5.3856340461971257</v>
      </c>
      <c r="M54" s="65">
        <f>SUM(WACC!$E$13,-summary!$D$83)/M46*M20/12</f>
        <v>5.4219488298829814</v>
      </c>
      <c r="N54" s="65">
        <f>SUM(WACC!$E$13,-summary!$D$83)/N46*N20/12</f>
        <v>5.37929150072135</v>
      </c>
      <c r="O54" s="65">
        <f>SUM(WACC!$E$13,-summary!$D$83)/O46*O20/12</f>
        <v>5.3017675097643631</v>
      </c>
      <c r="P54" s="65">
        <f>SUM(WACC!$E$13,-summary!$D$83)/P46*P20/12</f>
        <v>5.2099688064228555</v>
      </c>
      <c r="Q54" s="65">
        <f>SUM(WACC!$E$13,-summary!$D$83)/Q46*Q20/12</f>
        <v>5.1130778670101238</v>
      </c>
      <c r="R54" s="65">
        <f>SUM(WACC!$E$13,-summary!$D$83)/R46*R20/12</f>
        <v>4.954718824541442</v>
      </c>
    </row>
    <row r="55" spans="2:18" x14ac:dyDescent="0.3">
      <c r="B55" s="62" t="s">
        <v>172</v>
      </c>
      <c r="C55" s="62"/>
      <c r="D55" s="62"/>
      <c r="E55" s="64">
        <f>summary!$D$82/E46*E20/12</f>
        <v>16.132522641047839</v>
      </c>
      <c r="F55" s="64">
        <f>summary!$D$82/F46*F20/12</f>
        <v>14.433520999765877</v>
      </c>
      <c r="G55" s="64">
        <f>summary!$D$82/G46*G20/12</f>
        <v>12.962221957132611</v>
      </c>
      <c r="H55" s="64">
        <f>summary!$D$82/H46*H20/12</f>
        <v>8.846862747548931</v>
      </c>
      <c r="I55" s="64">
        <f>summary!$D$82/I46*I20/12</f>
        <v>12.053789227172901</v>
      </c>
      <c r="J55" s="64">
        <f>summary!$D$82/J46*J20/12</f>
        <v>7.9550601663791936</v>
      </c>
      <c r="K55" s="64">
        <f>summary!$D$82/K46*K20/12</f>
        <v>7.1531725259886514</v>
      </c>
      <c r="L55" s="65">
        <f>summary!$D$82/L46*L20/12</f>
        <v>6.4686504799397975</v>
      </c>
      <c r="M55" s="65">
        <f>summary!$D$82/M46*M20/12</f>
        <v>6.5122679335030016</v>
      </c>
      <c r="N55" s="65">
        <f>summary!$D$82/N46*N20/12</f>
        <v>6.4610324892846611</v>
      </c>
      <c r="O55" s="65">
        <f>summary!$D$82/O46*O20/12</f>
        <v>6.3679189214096086</v>
      </c>
      <c r="P55" s="65">
        <f>summary!$D$82/P46*P20/12</f>
        <v>6.2576600881256823</v>
      </c>
      <c r="Q55" s="65">
        <f>summary!$D$82/Q46*Q20/12</f>
        <v>6.1412850027860939</v>
      </c>
      <c r="R55" s="65">
        <f>summary!$D$82/R46*R20/12</f>
        <v>5.9510809734590042</v>
      </c>
    </row>
    <row r="56" spans="2:18" x14ac:dyDescent="0.3">
      <c r="B56" s="62"/>
      <c r="C56" s="62"/>
      <c r="D56" s="62"/>
      <c r="E56" s="68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</row>
    <row r="57" spans="2:18" x14ac:dyDescent="0.3">
      <c r="B57" s="62" t="s">
        <v>168</v>
      </c>
      <c r="C57" s="62"/>
      <c r="D57" s="62"/>
      <c r="E57" s="66"/>
      <c r="F57" s="66">
        <f>SUM('detailed-financials'!F74,'detailed-financials'!F80,'detailed-financials'!F81:F82,'detailed-financials'!F84,'detailed-financials'!F86:F87,'detailed-financials'!F92)/F48*F51</f>
        <v>5.5522223112036562</v>
      </c>
      <c r="G57" s="66">
        <f>SUM('detailed-financials'!G74,'detailed-financials'!G80,'detailed-financials'!G81:G82,'detailed-financials'!G84,'detailed-financials'!G86:G87,'detailed-financials'!G92)/G48*G51</f>
        <v>2.4263568610258521</v>
      </c>
      <c r="H57" s="66">
        <f>SUM('detailed-financials'!H74,'detailed-financials'!H80,'detailed-financials'!H81:H82,'detailed-financials'!H84,'detailed-financials'!H86:H87,'detailed-financials'!H92)/H48*H51</f>
        <v>-0.45541472092505919</v>
      </c>
      <c r="I57" s="66">
        <f>SUM('detailed-financials'!I74,'detailed-financials'!I80,'detailed-financials'!I81:I82,'detailed-financials'!I84,'detailed-financials'!I86:I87,'detailed-financials'!I92)/I48*I51</f>
        <v>6.1353471376370257</v>
      </c>
      <c r="J57" s="66">
        <f>SUM('detailed-financials'!J74,'detailed-financials'!J80,'detailed-financials'!J81:J82,'detailed-financials'!J84,'detailed-financials'!J86:J87,'detailed-financials'!J92)/J48*J51</f>
        <v>0.91541675370795983</v>
      </c>
      <c r="K57" s="66">
        <f>SUM('detailed-financials'!K74,'detailed-financials'!K80,'detailed-financials'!K81:K82,'detailed-financials'!K84,'detailed-financials'!K86:K87,'detailed-financials'!K92)/K48*K51</f>
        <v>2.2730502644144366</v>
      </c>
      <c r="L57" s="67">
        <f>SUM('detailed-financials'!L74,'detailed-financials'!L80,'detailed-financials'!L81:L82,'detailed-financials'!L84,'detailed-financials'!L86:L87,'detailed-financials'!L92)/L48*L51</f>
        <v>0.9598108900566924</v>
      </c>
      <c r="M57" s="67">
        <f>SUM('detailed-financials'!M74,'detailed-financials'!M80,'detailed-financials'!M81:M82,'detailed-financials'!M84,'detailed-financials'!M86:M87,'detailed-financials'!M92)/M48*M51</f>
        <v>13.853240882488384</v>
      </c>
      <c r="N57" s="67">
        <f>SUM('detailed-financials'!N74,'detailed-financials'!N80,'detailed-financials'!N81:N82,'detailed-financials'!N84,'detailed-financials'!N86:N87,'detailed-financials'!N92)/N48*N51</f>
        <v>14.215740899410306</v>
      </c>
      <c r="O57" s="67">
        <f>SUM('detailed-financials'!O74,'detailed-financials'!O80,'detailed-financials'!O81:O82,'detailed-financials'!O84,'detailed-financials'!O86:O87,'detailed-financials'!O92)/O48*O51</f>
        <v>14.538422388457782</v>
      </c>
      <c r="P57" s="67">
        <f>SUM('detailed-financials'!P74,'detailed-financials'!P80,'detailed-financials'!P81:P82,'detailed-financials'!P84,'detailed-financials'!P86:P87,'detailed-financials'!P92)/P48*P51</f>
        <v>14.846420285689202</v>
      </c>
      <c r="Q57" s="67">
        <f>SUM('detailed-financials'!Q74,'detailed-financials'!Q80,'detailed-financials'!Q81:Q82,'detailed-financials'!Q84,'detailed-financials'!Q86:Q87,'detailed-financials'!Q92)/Q48*Q51</f>
        <v>15.151085977974459</v>
      </c>
      <c r="R57" s="67">
        <f>SUM('detailed-financials'!R74,'detailed-financials'!R80,'detailed-financials'!R81:R82,'detailed-financials'!R84,'detailed-financials'!R86:R87,'detailed-financials'!R92)/R48*R51</f>
        <v>16.152383000096176</v>
      </c>
    </row>
    <row r="58" spans="2:18" x14ac:dyDescent="0.3">
      <c r="B58" s="62" t="s">
        <v>170</v>
      </c>
      <c r="C58" s="62"/>
      <c r="D58" s="62"/>
      <c r="E58" s="63"/>
      <c r="F58" s="64">
        <f>WACC!$E$14/F57*F20/12</f>
        <v>16.488893071746084</v>
      </c>
      <c r="G58" s="64">
        <f>WACC!$E$14/G57*G20/12</f>
        <v>37.731465420669032</v>
      </c>
      <c r="H58" s="64">
        <f>WACC!$E$14/H57*H20/12</f>
        <v>-201.02556152343837</v>
      </c>
      <c r="I58" s="64">
        <f>WACC!$E$14/I57*I20/12</f>
        <v>14.921731068547112</v>
      </c>
      <c r="J58" s="64">
        <f>WACC!$E$14/J57*J20/12</f>
        <v>100.00909381346834</v>
      </c>
      <c r="K58" s="64">
        <f>WACC!$E$14/K57*K20/12</f>
        <v>40.276276082959527</v>
      </c>
      <c r="L58" s="65">
        <f>WACC!$E$14/L57*L20/12</f>
        <v>95.383372858576834</v>
      </c>
      <c r="M58" s="65">
        <f>WACC!$E$14/M57*M20/12</f>
        <v>6.6085619081183085</v>
      </c>
      <c r="N58" s="65">
        <f>WACC!$E$14/N57*N20/12</f>
        <v>6.4400442191372278</v>
      </c>
      <c r="O58" s="65">
        <f>WACC!$E$14/O57*O20/12</f>
        <v>6.2971069043008798</v>
      </c>
      <c r="P58" s="65">
        <f>WACC!$E$14/P57*P20/12</f>
        <v>6.1664696430726202</v>
      </c>
      <c r="Q58" s="65">
        <f>WACC!$E$14/Q57*Q20/12</f>
        <v>6.0424711557368687</v>
      </c>
      <c r="R58" s="65">
        <f>WACC!$E$14/R57*R20/12</f>
        <v>5.6678943286235155</v>
      </c>
    </row>
    <row r="60" spans="2:18" x14ac:dyDescent="0.3">
      <c r="B60" s="2" t="str">
        <f>"Discounted Cash Flow ("&amp;cover!E10&amp;")"</f>
        <v>Discounted Cash Flow (£m)</v>
      </c>
      <c r="C60" s="2"/>
      <c r="D60" s="5" t="s">
        <v>120</v>
      </c>
      <c r="E60" s="5">
        <f t="shared" ref="E60:K60" si="46">YEAR(E62)</f>
        <v>2023</v>
      </c>
      <c r="F60" s="2">
        <f t="shared" si="46"/>
        <v>2024</v>
      </c>
      <c r="G60" s="2">
        <f t="shared" si="46"/>
        <v>2025</v>
      </c>
      <c r="H60" s="5">
        <f t="shared" si="46"/>
        <v>2026</v>
      </c>
      <c r="I60" s="5">
        <f t="shared" si="46"/>
        <v>2027</v>
      </c>
      <c r="J60" s="5">
        <f t="shared" si="46"/>
        <v>2028</v>
      </c>
      <c r="K60" s="5">
        <f t="shared" si="46"/>
        <v>2029</v>
      </c>
      <c r="L60" s="5" t="s">
        <v>121</v>
      </c>
    </row>
    <row r="61" spans="2:18" x14ac:dyDescent="0.3">
      <c r="E61" s="1"/>
    </row>
    <row r="62" spans="2:18" x14ac:dyDescent="0.3">
      <c r="B62" s="1" t="s">
        <v>18</v>
      </c>
      <c r="D62" s="16">
        <f>D10</f>
        <v>45059</v>
      </c>
      <c r="E62" s="16">
        <f>EOMONTH(D11,12)</f>
        <v>45291</v>
      </c>
      <c r="F62" s="16">
        <f t="shared" ref="F62:K62" si="47">DATE(YEAR(E62)+1,MONTH(E62),DAY(E62))</f>
        <v>45657</v>
      </c>
      <c r="G62" s="16">
        <f t="shared" si="47"/>
        <v>46022</v>
      </c>
      <c r="H62" s="16">
        <f t="shared" si="47"/>
        <v>46387</v>
      </c>
      <c r="I62" s="16">
        <f t="shared" si="47"/>
        <v>46752</v>
      </c>
      <c r="J62" s="16">
        <f t="shared" si="47"/>
        <v>47118</v>
      </c>
      <c r="K62" s="16">
        <f t="shared" si="47"/>
        <v>47483</v>
      </c>
      <c r="L62" s="16">
        <f>K62</f>
        <v>47483</v>
      </c>
    </row>
    <row r="63" spans="2:18" x14ac:dyDescent="0.3">
      <c r="B63" s="1" t="s">
        <v>156</v>
      </c>
      <c r="D63" s="16"/>
      <c r="E63" s="18">
        <f t="shared" ref="E63:L63" si="48">MIN(1,YEARFRAC($D$11,E62))</f>
        <v>1</v>
      </c>
      <c r="F63" s="18">
        <f t="shared" si="48"/>
        <v>1</v>
      </c>
      <c r="G63" s="18">
        <f t="shared" si="48"/>
        <v>1</v>
      </c>
      <c r="H63" s="18">
        <f t="shared" si="48"/>
        <v>1</v>
      </c>
      <c r="I63" s="18">
        <f t="shared" si="48"/>
        <v>1</v>
      </c>
      <c r="J63" s="18">
        <f t="shared" ref="J63:K63" si="49">MIN(1,YEARFRAC($D$11,J62))</f>
        <v>1</v>
      </c>
      <c r="K63" s="18">
        <f t="shared" si="49"/>
        <v>1</v>
      </c>
      <c r="L63" s="18">
        <f t="shared" si="48"/>
        <v>1</v>
      </c>
    </row>
    <row r="64" spans="2:18" x14ac:dyDescent="0.3">
      <c r="B64" s="1" t="s">
        <v>122</v>
      </c>
      <c r="E64" s="38">
        <f t="shared" ref="E64:K64" si="50">IF($D$62&gt;E62,0,YEARFRAC($D$62,E62))</f>
        <v>0.6333333333333333</v>
      </c>
      <c r="F64" s="38">
        <f t="shared" si="50"/>
        <v>1.6333333333333333</v>
      </c>
      <c r="G64" s="38">
        <f t="shared" si="50"/>
        <v>2.6333333333333333</v>
      </c>
      <c r="H64" s="38">
        <f t="shared" si="50"/>
        <v>3.6333333333333333</v>
      </c>
      <c r="I64" s="38">
        <f t="shared" si="50"/>
        <v>4.6333333333333337</v>
      </c>
      <c r="J64" s="38">
        <f t="shared" si="50"/>
        <v>5.6333333333333337</v>
      </c>
      <c r="K64" s="38">
        <f t="shared" si="50"/>
        <v>6.6333333333333337</v>
      </c>
      <c r="L64" s="38">
        <f>K64</f>
        <v>6.6333333333333337</v>
      </c>
    </row>
    <row r="65" spans="2:13" x14ac:dyDescent="0.3">
      <c r="B65" s="1" t="s">
        <v>52</v>
      </c>
      <c r="D65" s="19"/>
      <c r="E65" s="24">
        <f>INDEX('detailed-financials'!$E$50:$R$50,MATCH(summary!E62,'detailed-financials'!$E$6:$R$6,0))</f>
        <v>33.634665565126618</v>
      </c>
      <c r="F65" s="24">
        <f>INDEX('detailed-financials'!$E$50:$R$50,MATCH(summary!F62,'detailed-financials'!$E$6:$R$6,0))</f>
        <v>33.409389443446585</v>
      </c>
      <c r="G65" s="24">
        <f>INDEX('detailed-financials'!$E$50:$R$50,MATCH(summary!G62,'detailed-financials'!$E$6:$R$6,0))</f>
        <v>33.674323091750843</v>
      </c>
      <c r="H65" s="24">
        <f>INDEX('detailed-financials'!$E$50:$R$50,MATCH(summary!H62,'detailed-financials'!$E$6:$R$6,0))</f>
        <v>34.166718866186372</v>
      </c>
      <c r="I65" s="24">
        <f>INDEX('detailed-financials'!$E$50:$R$50,MATCH(summary!I62,'detailed-financials'!$E$6:$R$6,0))</f>
        <v>34.768730242047795</v>
      </c>
      <c r="J65" s="24">
        <f>INDEX('detailed-financials'!$E$50:$R$50,MATCH(summary!J62,'detailed-financials'!$E$6:$R$6,0))</f>
        <v>35.427584854271757</v>
      </c>
      <c r="K65" s="24">
        <f>INDEX('detailed-financials'!$E$50:$R$50,MATCH(summary!K62,'detailed-financials'!$E$6:$R$6,0))</f>
        <v>36.559895004085291</v>
      </c>
      <c r="L65" s="85">
        <f>K65*(1+$D$9)</f>
        <v>37.291092904166995</v>
      </c>
      <c r="M65" s="24"/>
    </row>
    <row r="66" spans="2:13" x14ac:dyDescent="0.3">
      <c r="B66" s="21" t="s">
        <v>175</v>
      </c>
      <c r="D66" s="19"/>
      <c r="E66" s="45">
        <f t="shared" ref="E66:I66" si="51">INDEX($L$29:$R$29,MATCH(E62,$L$19:$R$19,0))</f>
        <v>0.25</v>
      </c>
      <c r="F66" s="45">
        <f t="shared" si="51"/>
        <v>0.25</v>
      </c>
      <c r="G66" s="45">
        <f t="shared" si="51"/>
        <v>0.25</v>
      </c>
      <c r="H66" s="45">
        <f t="shared" si="51"/>
        <v>0.25</v>
      </c>
      <c r="I66" s="45">
        <f t="shared" si="51"/>
        <v>0.25</v>
      </c>
      <c r="J66" s="45">
        <f t="shared" ref="J66:K66" si="52">INDEX($L$29:$R$29,MATCH(J62,$L$19:$R$19,0))</f>
        <v>0.25</v>
      </c>
      <c r="K66" s="45">
        <f t="shared" si="52"/>
        <v>0.25</v>
      </c>
      <c r="L66" s="45">
        <f>INDEX($L$29:$R$29,MATCH(L62,$L$19:$R$19,0))</f>
        <v>0.25</v>
      </c>
      <c r="M66" s="45"/>
    </row>
    <row r="67" spans="2:13" x14ac:dyDescent="0.3">
      <c r="B67" s="1" t="s">
        <v>123</v>
      </c>
      <c r="D67" s="19"/>
      <c r="E67" s="24">
        <f>-E65*E66</f>
        <v>-8.4086663912816544</v>
      </c>
      <c r="F67" s="24">
        <f t="shared" ref="F67:I67" si="53">-F65*F66</f>
        <v>-8.3523473608616463</v>
      </c>
      <c r="G67" s="24">
        <f t="shared" si="53"/>
        <v>-8.4185807729377107</v>
      </c>
      <c r="H67" s="24">
        <f t="shared" si="53"/>
        <v>-8.541679716546593</v>
      </c>
      <c r="I67" s="24">
        <f t="shared" si="53"/>
        <v>-8.6921825605119487</v>
      </c>
      <c r="J67" s="24">
        <f t="shared" ref="J67:K67" si="54">-J65*J66</f>
        <v>-8.8568962135679392</v>
      </c>
      <c r="K67" s="24">
        <f t="shared" si="54"/>
        <v>-9.1399737510213228</v>
      </c>
      <c r="L67" s="85">
        <f>-L65*L66</f>
        <v>-9.3227732260417486</v>
      </c>
      <c r="M67" s="24"/>
    </row>
    <row r="68" spans="2:13" x14ac:dyDescent="0.3">
      <c r="B68" s="1" t="s">
        <v>124</v>
      </c>
      <c r="D68" s="19"/>
      <c r="E68" s="24">
        <f>-INDEX('detailed-financials'!$E$49:$R$49,MATCH(summary!E62,'detailed-financials'!$E$6:$R$6,0))</f>
        <v>8.1537144348734003</v>
      </c>
      <c r="F68" s="24">
        <f>-INDEX('detailed-financials'!$E$49:$R$49,MATCH(summary!F62,'detailed-financials'!$E$6:$R$6,0))</f>
        <v>9.2147581565534313</v>
      </c>
      <c r="G68" s="24">
        <f>-INDEX('detailed-financials'!$E$49:$R$49,MATCH(summary!G62,'detailed-financials'!$E$6:$R$6,0))</f>
        <v>9.8023074602491604</v>
      </c>
      <c r="H68" s="24">
        <f>-INDEX('detailed-financials'!$E$49:$R$49,MATCH(summary!H62,'detailed-financials'!$E$6:$R$6,0))</f>
        <v>10.179444296853628</v>
      </c>
      <c r="I68" s="24">
        <f>-INDEX('detailed-financials'!$E$49:$R$49,MATCH(summary!I62,'detailed-financials'!$E$6:$R$6,0))</f>
        <v>10.464356184253004</v>
      </c>
      <c r="J68" s="24">
        <f>-INDEX('detailed-financials'!$E$49:$R$49,MATCH(summary!J62,'detailed-financials'!$E$6:$R$6,0))</f>
        <v>10.710163300555068</v>
      </c>
      <c r="K68" s="24">
        <f>-INDEX('detailed-financials'!$E$49:$R$49,MATCH(summary!K62,'detailed-financials'!$E$6:$R$6,0))</f>
        <v>10.940766721955963</v>
      </c>
      <c r="L68" s="85">
        <f>K68/$K$65*$L$65</f>
        <v>11.159582056395081</v>
      </c>
      <c r="M68" s="24"/>
    </row>
    <row r="69" spans="2:13" x14ac:dyDescent="0.3">
      <c r="B69" s="1" t="s">
        <v>125</v>
      </c>
      <c r="D69" s="19"/>
      <c r="E69" s="24">
        <f>INDEX('detailed-financials'!$E$77:$R$77,MATCH(summary!E62,'detailed-financials'!$E$6:$R$6,0))</f>
        <v>-10.079639999999999</v>
      </c>
      <c r="F69" s="24">
        <f>INDEX('detailed-financials'!$E$77:$R$77,MATCH(summary!F62,'detailed-financials'!$E$6:$R$6,0))</f>
        <v>-10.2812328</v>
      </c>
      <c r="G69" s="24">
        <f>INDEX('detailed-financials'!$E$77:$R$77,MATCH(summary!G62,'detailed-financials'!$E$6:$R$6,0))</f>
        <v>-10.486857455999999</v>
      </c>
      <c r="H69" s="24">
        <f>INDEX('detailed-financials'!$E$77:$R$77,MATCH(summary!H62,'detailed-financials'!$E$6:$R$6,0))</f>
        <v>-10.69659460512</v>
      </c>
      <c r="I69" s="24">
        <f>INDEX('detailed-financials'!$E$77:$R$77,MATCH(summary!I62,'detailed-financials'!$E$6:$R$6,0))</f>
        <v>-10.910526497222399</v>
      </c>
      <c r="J69" s="24">
        <f>INDEX('detailed-financials'!$E$77:$R$77,MATCH(summary!J62,'detailed-financials'!$E$6:$R$6,0))</f>
        <v>-11.128737027166848</v>
      </c>
      <c r="K69" s="24">
        <f>INDEX('detailed-financials'!$E$77:$R$77,MATCH(summary!K62,'detailed-financials'!$E$6:$R$6,0))</f>
        <v>-11.351311767710184</v>
      </c>
      <c r="L69" s="85">
        <f>-L68</f>
        <v>-11.159582056395081</v>
      </c>
      <c r="M69" s="24"/>
    </row>
    <row r="70" spans="2:13" x14ac:dyDescent="0.3">
      <c r="B70" s="1" t="s">
        <v>126</v>
      </c>
      <c r="D70" s="19"/>
      <c r="E70" s="24">
        <f>INDEX('detailed-financials'!$E$69:$R$69,MATCH(summary!E62,'detailed-financials'!$E$6:$R$6,0))</f>
        <v>-7.2303330511479587</v>
      </c>
      <c r="F70" s="24">
        <f>INDEX('detailed-financials'!$E$69:$R$69,MATCH(summary!F62,'detailed-financials'!$E$6:$R$6,0))</f>
        <v>-4.224306661022954</v>
      </c>
      <c r="G70" s="24">
        <f>INDEX('detailed-financials'!$E$69:$R$69,MATCH(summary!G62,'detailed-financials'!$E$6:$R$6,0))</f>
        <v>-4.3087927942434234</v>
      </c>
      <c r="H70" s="24">
        <f>INDEX('detailed-financials'!$E$69:$R$69,MATCH(summary!H62,'detailed-financials'!$E$6:$R$6,0))</f>
        <v>-4.3949686501282486</v>
      </c>
      <c r="I70" s="24">
        <f>INDEX('detailed-financials'!$E$69:$R$69,MATCH(summary!I62,'detailed-financials'!$E$6:$R$6,0))</f>
        <v>-4.4828680231309015</v>
      </c>
      <c r="J70" s="24">
        <f>INDEX('detailed-financials'!$E$69:$R$69,MATCH(summary!J62,'detailed-financials'!$E$6:$R$6,0))</f>
        <v>-4.5725253835934545</v>
      </c>
      <c r="K70" s="24">
        <f>INDEX('detailed-financials'!$E$69:$R$69,MATCH(summary!K62,'detailed-financials'!$E$6:$R$6,0))</f>
        <v>-4.9112397522505553</v>
      </c>
      <c r="L70" s="85">
        <f>K70</f>
        <v>-4.9112397522505553</v>
      </c>
      <c r="M70" s="24"/>
    </row>
    <row r="71" spans="2:13" x14ac:dyDescent="0.3">
      <c r="B71" s="1" t="s">
        <v>147</v>
      </c>
      <c r="D71" s="19"/>
      <c r="E71" s="24">
        <f>INDEX('detailed-financials'!$E$72:$R$72,MATCH(summary!E62,'detailed-financials'!$E$6:$R$6,0))</f>
        <v>0</v>
      </c>
      <c r="F71" s="24">
        <f>INDEX('detailed-financials'!$E$72:$R$72,MATCH(summary!F62,'detailed-financials'!$E$6:$R$6,0))</f>
        <v>0</v>
      </c>
      <c r="G71" s="24">
        <f>INDEX('detailed-financials'!$E$72:$R$72,MATCH(summary!G62,'detailed-financials'!$E$6:$R$6,0))</f>
        <v>0</v>
      </c>
      <c r="H71" s="24">
        <f>INDEX('detailed-financials'!$E$72:$R$72,MATCH(summary!H62,'detailed-financials'!$E$6:$R$6,0))</f>
        <v>0</v>
      </c>
      <c r="I71" s="24">
        <f>INDEX('detailed-financials'!$E$72:$R$72,MATCH(summary!I62,'detailed-financials'!$E$6:$R$6,0))</f>
        <v>0</v>
      </c>
      <c r="J71" s="24">
        <f>INDEX('detailed-financials'!$E$72:$R$72,MATCH(summary!J62,'detailed-financials'!$E$6:$R$6,0))</f>
        <v>0</v>
      </c>
      <c r="K71" s="24">
        <f>INDEX('detailed-financials'!$E$72:$R$72,MATCH(summary!K62,'detailed-financials'!$E$6:$R$6,0))</f>
        <v>0</v>
      </c>
      <c r="L71" s="85">
        <f>INDEX('detailed-financials'!$E$72:$R$72,MATCH(summary!L62,'detailed-financials'!$E$6:$R$6,0))</f>
        <v>0</v>
      </c>
      <c r="M71" s="24"/>
    </row>
    <row r="72" spans="2:13" x14ac:dyDescent="0.3">
      <c r="B72" s="1" t="s">
        <v>151</v>
      </c>
      <c r="D72" s="19"/>
      <c r="E72" s="24">
        <f>INDEX('detailed-financials'!$E$86:$R$86,MATCH(summary!E62,'detailed-financials'!$E$6:$R$6,0))</f>
        <v>0</v>
      </c>
      <c r="F72" s="24">
        <f>INDEX('detailed-financials'!$E$86:$R$86,MATCH(summary!F62,'detailed-financials'!$E$6:$R$6,0))</f>
        <v>0</v>
      </c>
      <c r="G72" s="24">
        <f>INDEX('detailed-financials'!$E$86:$R$86,MATCH(summary!G62,'detailed-financials'!$E$6:$R$6,0))</f>
        <v>0</v>
      </c>
      <c r="H72" s="24">
        <f>INDEX('detailed-financials'!$E$86:$R$86,MATCH(summary!H62,'detailed-financials'!$E$6:$R$6,0))</f>
        <v>0</v>
      </c>
      <c r="I72" s="24">
        <f>INDEX('detailed-financials'!$E$86:$R$86,MATCH(summary!I62,'detailed-financials'!$E$6:$R$6,0))</f>
        <v>0</v>
      </c>
      <c r="J72" s="24">
        <f>INDEX('detailed-financials'!$E$86:$R$86,MATCH(summary!J62,'detailed-financials'!$E$6:$R$6,0))</f>
        <v>0</v>
      </c>
      <c r="K72" s="24">
        <f>INDEX('detailed-financials'!$E$86:$R$86,MATCH(summary!K62,'detailed-financials'!$E$6:$R$6,0))</f>
        <v>0</v>
      </c>
      <c r="L72" s="85">
        <f>INDEX('detailed-financials'!$E$86:$R$86,MATCH(summary!L62,'detailed-financials'!$E$6:$R$6,0))</f>
        <v>0</v>
      </c>
      <c r="M72" s="24"/>
    </row>
    <row r="73" spans="2:13" x14ac:dyDescent="0.3">
      <c r="B73" s="1" t="s">
        <v>128</v>
      </c>
      <c r="D73" s="19"/>
      <c r="E73" s="24">
        <f>SUM(E67:E72,E65)*E63</f>
        <v>16.069740557570405</v>
      </c>
      <c r="F73" s="24">
        <f t="shared" ref="F73:I73" si="55">SUM(F67:F72,F65)*F63</f>
        <v>19.766260778115416</v>
      </c>
      <c r="G73" s="24">
        <f t="shared" si="55"/>
        <v>20.262399528818868</v>
      </c>
      <c r="H73" s="24">
        <f t="shared" si="55"/>
        <v>20.712920191245161</v>
      </c>
      <c r="I73" s="24">
        <f t="shared" si="55"/>
        <v>21.147509345435552</v>
      </c>
      <c r="J73" s="24">
        <f t="shared" ref="J73:K73" si="56">SUM(J67:J72,J65)*J63</f>
        <v>21.579589530498584</v>
      </c>
      <c r="K73" s="24">
        <f t="shared" si="56"/>
        <v>22.098136455059191</v>
      </c>
      <c r="L73" s="24">
        <f>SUM(L67:L72,L65)*L63</f>
        <v>23.057079925874689</v>
      </c>
      <c r="M73" s="24"/>
    </row>
    <row r="74" spans="2:13" x14ac:dyDescent="0.3">
      <c r="B74" s="1" t="s">
        <v>140</v>
      </c>
      <c r="D74" s="19"/>
      <c r="E74" s="19"/>
      <c r="F74" s="19"/>
      <c r="G74" s="19"/>
      <c r="H74" s="19"/>
      <c r="I74" s="19"/>
      <c r="J74" s="19"/>
      <c r="K74" s="19"/>
      <c r="L74" s="39">
        <f>($L$73*(1+$D$9))/($D$8-$D$9)</f>
        <v>249.19111369689986</v>
      </c>
      <c r="M74" s="39"/>
    </row>
    <row r="75" spans="2:13" x14ac:dyDescent="0.3">
      <c r="B75" s="1" t="s">
        <v>141</v>
      </c>
      <c r="D75" s="19"/>
      <c r="E75" s="24">
        <f>E73/(1+$D$8)^E64</f>
        <v>15.004500227085785</v>
      </c>
      <c r="F75" s="24">
        <f t="shared" ref="F75:I75" si="57">F73/(1+$D$8)^F64</f>
        <v>16.561686609034609</v>
      </c>
      <c r="G75" s="24">
        <f t="shared" si="57"/>
        <v>15.234853714290947</v>
      </c>
      <c r="H75" s="24">
        <f t="shared" si="57"/>
        <v>13.97513842421575</v>
      </c>
      <c r="I75" s="24">
        <f t="shared" si="57"/>
        <v>12.803873786485248</v>
      </c>
      <c r="J75" s="24">
        <f t="shared" ref="J75:K75" si="58">J73/(1+$D$8)^J64</f>
        <v>11.724456265094052</v>
      </c>
      <c r="K75" s="24">
        <f t="shared" si="58"/>
        <v>10.773890436844104</v>
      </c>
      <c r="L75" s="24">
        <f>L74/(1+$D$8)^L64</f>
        <v>121.49249608742041</v>
      </c>
      <c r="M75" s="24"/>
    </row>
    <row r="76" spans="2:13" x14ac:dyDescent="0.3">
      <c r="D76" s="19"/>
      <c r="E76" s="24"/>
      <c r="F76" s="24"/>
      <c r="G76" s="24"/>
      <c r="H76" s="24"/>
      <c r="I76" s="24"/>
      <c r="J76" s="24"/>
      <c r="K76" s="24"/>
      <c r="L76" s="24"/>
    </row>
    <row r="77" spans="2:13" x14ac:dyDescent="0.3">
      <c r="B77" s="1" t="s">
        <v>152</v>
      </c>
      <c r="D77" s="19"/>
      <c r="E77" s="24">
        <f>-INDEX('detailed-financials'!E58:R58,MATCH(summary!E62,'detailed-financials'!E6:R6,0))</f>
        <v>0</v>
      </c>
      <c r="F77" s="24">
        <f>-INDEX('detailed-financials'!F58:S58,MATCH(summary!F62,'detailed-financials'!F6:S6,0))</f>
        <v>0</v>
      </c>
      <c r="G77" s="24">
        <f>-INDEX('detailed-financials'!G58:T58,MATCH(summary!G62,'detailed-financials'!G6:T6,0))</f>
        <v>0</v>
      </c>
      <c r="H77" s="24">
        <f>-INDEX('detailed-financials'!H58:U58,MATCH(summary!H62,'detailed-financials'!H6:U6,0))</f>
        <v>0</v>
      </c>
      <c r="I77" s="24">
        <f>-INDEX('detailed-financials'!I58:V58,MATCH(summary!I62,'detailed-financials'!I6:V6,0))</f>
        <v>0</v>
      </c>
      <c r="J77" s="24">
        <f>-INDEX('detailed-financials'!J58:W58,MATCH(summary!J62,'detailed-financials'!J6:W6,0))</f>
        <v>0</v>
      </c>
      <c r="K77" s="24">
        <f>-INDEX('detailed-financials'!K58:X58,MATCH(summary!K62,'detailed-financials'!K6:X6,0))</f>
        <v>0</v>
      </c>
      <c r="L77" s="24">
        <f>I77*(1+$D$9)</f>
        <v>0</v>
      </c>
    </row>
    <row r="78" spans="2:13" x14ac:dyDescent="0.3">
      <c r="B78" s="1" t="s">
        <v>191</v>
      </c>
      <c r="D78" s="19"/>
      <c r="E78" s="24"/>
      <c r="F78" s="24"/>
      <c r="G78" s="24"/>
      <c r="H78" s="24"/>
      <c r="I78" s="24"/>
      <c r="J78" s="24"/>
      <c r="K78" s="24"/>
      <c r="L78" s="24">
        <f>($L$77*(1+$D$9))/($D$8-$D$9)</f>
        <v>0</v>
      </c>
    </row>
    <row r="79" spans="2:13" x14ac:dyDescent="0.3">
      <c r="B79" s="1" t="s">
        <v>190</v>
      </c>
      <c r="D79" s="19"/>
      <c r="E79" s="24">
        <f>E77/(1+$D$8)^E64</f>
        <v>0</v>
      </c>
      <c r="F79" s="24">
        <f t="shared" ref="F79:I79" si="59">F77/(1+$D$8)^F64</f>
        <v>0</v>
      </c>
      <c r="G79" s="24">
        <f t="shared" si="59"/>
        <v>0</v>
      </c>
      <c r="H79" s="24">
        <f t="shared" si="59"/>
        <v>0</v>
      </c>
      <c r="I79" s="24">
        <f t="shared" si="59"/>
        <v>0</v>
      </c>
      <c r="J79" s="24">
        <f t="shared" ref="J79" si="60">J77/(1+$D$8)^J64</f>
        <v>0</v>
      </c>
      <c r="K79" s="24">
        <f t="shared" ref="K79" si="61">K77/(1+$D$8)^K64</f>
        <v>0</v>
      </c>
      <c r="L79" s="24">
        <f>L78/(1+$D$8)^L64</f>
        <v>0</v>
      </c>
    </row>
    <row r="80" spans="2:13" x14ac:dyDescent="0.3">
      <c r="D80" s="19"/>
      <c r="E80" s="20"/>
      <c r="F80" s="19"/>
      <c r="G80" s="19"/>
      <c r="H80" s="19"/>
      <c r="I80" s="19"/>
      <c r="J80" s="19"/>
    </row>
    <row r="81" spans="2:8" x14ac:dyDescent="0.3">
      <c r="B81" s="2" t="s">
        <v>130</v>
      </c>
      <c r="C81" s="2"/>
      <c r="D81" s="2"/>
      <c r="F81" s="2" t="s">
        <v>127</v>
      </c>
      <c r="G81" s="2"/>
      <c r="H81" s="2"/>
    </row>
    <row r="82" spans="2:8" x14ac:dyDescent="0.3">
      <c r="B82" s="1" t="s">
        <v>131</v>
      </c>
      <c r="D82" s="39">
        <f>SUM(E75:L75)</f>
        <v>217.57089555047088</v>
      </c>
      <c r="F82" s="1" t="s">
        <v>129</v>
      </c>
      <c r="H82" s="38">
        <f>WACC!E14</f>
        <v>91.55</v>
      </c>
    </row>
    <row r="83" spans="2:8" x14ac:dyDescent="0.3">
      <c r="B83" s="1" t="s">
        <v>132</v>
      </c>
      <c r="D83" s="39">
        <f>-(INDEX('detailed-financials'!$E$25:$R$25,MATCH($D$11,'detailed-financials'!$E$6:$R$6,0))-INDEX('detailed-financials'!$E$12:$R$12,MATCH($D$11,'detailed-financials'!$E$6:$R$6,0)))</f>
        <v>-73.124000000000024</v>
      </c>
      <c r="F83" s="1" t="s">
        <v>142</v>
      </c>
      <c r="H83" s="38">
        <f>D91-H82</f>
        <v>31.443979280060034</v>
      </c>
    </row>
    <row r="84" spans="2:8" x14ac:dyDescent="0.3">
      <c r="B84" s="1" t="s">
        <v>149</v>
      </c>
      <c r="D84" s="39">
        <f>(INDEX('detailed-financials'!$E$15:$R$15,MATCH($D$11,'detailed-financials'!$E$6:$R$6,0))+INDEX('detailed-financials'!$E$16:$R$16,MATCH($D$11,'detailed-financials'!$E$6:$R$6,0))+INDEX('detailed-financials'!$E$17:$R$17,MATCH($D$11,'detailed-financials'!$E$6:$R$6,0)))</f>
        <v>0.71799999999999997</v>
      </c>
      <c r="F84" s="1" t="s">
        <v>143</v>
      </c>
      <c r="H84" s="31">
        <f>1-(H82/D91)</f>
        <v>0.25565462199138544</v>
      </c>
    </row>
    <row r="85" spans="2:8" x14ac:dyDescent="0.3">
      <c r="B85" s="1" t="s">
        <v>150</v>
      </c>
      <c r="D85" s="39">
        <f>-(INDEX('detailed-financials'!$E$24:$R$24,MATCH($D$11,'detailed-financials'!$E$6:$R$6,0))+INDEX('detailed-financials'!$E$26:$R$26,MATCH($D$11,'detailed-financials'!$E$6:$R$6,0)))</f>
        <v>-3.2000000000000001E-2</v>
      </c>
      <c r="F85" s="1" t="s">
        <v>144</v>
      </c>
      <c r="H85" s="18">
        <f>D91*0.7</f>
        <v>86.095785496042012</v>
      </c>
    </row>
    <row r="86" spans="2:8" x14ac:dyDescent="0.3">
      <c r="B86" s="1" t="s">
        <v>159</v>
      </c>
      <c r="D86" s="85"/>
    </row>
    <row r="87" spans="2:8" x14ac:dyDescent="0.3">
      <c r="B87" s="40" t="s">
        <v>133</v>
      </c>
      <c r="C87" s="40"/>
      <c r="D87" s="41">
        <f>SUM(D82:D86)</f>
        <v>145.13289555047083</v>
      </c>
    </row>
    <row r="88" spans="2:8" x14ac:dyDescent="0.3">
      <c r="B88" s="1" t="s">
        <v>152</v>
      </c>
      <c r="D88" s="39">
        <f>SUM(E79:L79)</f>
        <v>0</v>
      </c>
    </row>
    <row r="89" spans="2:8" x14ac:dyDescent="0.3">
      <c r="B89" s="40" t="s">
        <v>153</v>
      </c>
      <c r="C89" s="40"/>
      <c r="D89" s="41">
        <f>SUM(D87:D88)</f>
        <v>145.13289555047083</v>
      </c>
    </row>
    <row r="91" spans="2:8" x14ac:dyDescent="0.3">
      <c r="B91" s="1" t="s">
        <v>134</v>
      </c>
      <c r="D91" s="72">
        <f>D89*10^8/D13</f>
        <v>122.99397928006003</v>
      </c>
    </row>
  </sheetData>
  <sheetProtection algorithmName="SHA-512" hashValue="8HSB9uFwYWq3ybBsfbLu+ncPJALet5vvq7wLeHSjZaZZokYJ8eCLuZGKEgMy/XZhq89e0MSzrO3XwhFlRVEObg==" saltValue="/DvPGz52G9WzPm3Q5cGaNQ==" spinCount="100000" sheet="1" formatCells="0" formatColumns="0" formatRows="0" insertColumns="0" insertRows="0" insertHyperlinks="0" deleteColumns="0" deleteRows="0" selectLockedCells="1" sort="0" autoFilter="0" pivotTables="0"/>
  <conditionalFormatting sqref="D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E3298429-3BA3-4781-AF4F-0CE3148DC9A9}">
            <xm:f>K$19&lt;cover!$E$13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D23 E24:R37</xm:sqref>
        </x14:conditionalFormatting>
        <x14:conditionalFormatting xmlns:xm="http://schemas.microsoft.com/office/excel/2006/main">
          <x14:cfRule type="expression" priority="9" id="{DB512228-930D-44C3-A266-091211F65F0B}">
            <xm:f>E$19&gt;cover!$E$13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E41:K41 E43:K43 E45:K45 E47:K47 E49:K49</xm:sqref>
        </x14:conditionalFormatting>
        <x14:conditionalFormatting xmlns:xm="http://schemas.microsoft.com/office/excel/2006/main">
          <x14:cfRule type="expression" priority="3" id="{E8FF0C00-272B-44E0-9369-8764AD5348F8}">
            <xm:f>F$6&gt;cover!$E$14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F71:F72</xm:sqref>
        </x14:conditionalFormatting>
        <x14:conditionalFormatting xmlns:xm="http://schemas.microsoft.com/office/excel/2006/main">
          <x14:cfRule type="expression" priority="4" id="{699A536D-8A4B-46C5-B510-BA0959C6B272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F65:H65 F68:H70</xm:sqref>
        </x14:conditionalFormatting>
        <x14:conditionalFormatting xmlns:xm="http://schemas.microsoft.com/office/excel/2006/main">
          <x14:cfRule type="expression" priority="51" id="{E8FF0C00-272B-44E0-9369-8764AD5348F8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G71:H72 I65 I68:I72 J71:J72 K65 K68:K72</xm:sqref>
        </x14:conditionalFormatting>
        <x14:conditionalFormatting xmlns:xm="http://schemas.microsoft.com/office/excel/2006/main">
          <x14:cfRule type="expression" priority="55" id="{E8FF0C00-272B-44E0-9369-8764AD5348F8}">
            <xm:f>D$15&gt;cover!$E$14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E65 E68:E72</xm:sqref>
        </x14:conditionalFormatting>
        <x14:conditionalFormatting xmlns:xm="http://schemas.microsoft.com/office/excel/2006/main">
          <x14:cfRule type="expression" priority="2" id="{920726A5-BC94-4313-B203-BB0F3DF1C859}">
            <xm:f>J$6&gt;cover!$E$14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L77 M65 M68:M72</xm:sqref>
        </x14:conditionalFormatting>
        <x14:conditionalFormatting xmlns:xm="http://schemas.microsoft.com/office/excel/2006/main">
          <x14:cfRule type="expression" priority="1" id="{8B205539-E932-4649-B9DE-254DB7AA75FF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J65 J68:J70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B2A8-5C40-4A5F-9E02-CB49A082C27D}">
  <dimension ref="A1:I25"/>
  <sheetViews>
    <sheetView topLeftCell="A7" workbookViewId="0">
      <selection activeCell="I25" sqref="I25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9" ht="33.6" x14ac:dyDescent="0.65">
      <c r="B1" s="88" t="s">
        <v>187</v>
      </c>
    </row>
    <row r="2" spans="1:9" s="15" customFormat="1" ht="15" thickBot="1" x14ac:dyDescent="0.35">
      <c r="A2" s="13"/>
      <c r="B2" s="14" t="str">
        <f>UPPER(cover!E8&amp;" - "&amp;DAY(cover!E12)&amp;"/"&amp;MONTH(cover!E12)&amp;"/"&amp;YEAR(cover!E12))</f>
        <v>ANEXO GROUP PLC - 13/5/2023</v>
      </c>
      <c r="E2" s="13"/>
    </row>
    <row r="3" spans="1:9" ht="15" thickTop="1" x14ac:dyDescent="0.3">
      <c r="B3" s="25" t="str">
        <f>IF(checks!E10&lt;&gt;0,"**ERROR**","")</f>
        <v/>
      </c>
    </row>
    <row r="4" spans="1:9" s="3" customFormat="1" x14ac:dyDescent="0.3">
      <c r="A4" s="5"/>
      <c r="B4" s="2" t="s">
        <v>99</v>
      </c>
      <c r="E4" s="4"/>
    </row>
    <row r="6" spans="1:9" x14ac:dyDescent="0.3">
      <c r="B6" s="2" t="s">
        <v>162</v>
      </c>
      <c r="C6" s="3"/>
      <c r="D6" s="3"/>
      <c r="E6" s="4"/>
      <c r="F6" s="4"/>
      <c r="G6" s="4"/>
      <c r="H6" s="4"/>
      <c r="I6" s="4"/>
    </row>
    <row r="8" spans="1:9" x14ac:dyDescent="0.3">
      <c r="B8" s="2" t="s">
        <v>135</v>
      </c>
      <c r="C8" s="3"/>
      <c r="D8" s="3"/>
      <c r="E8" s="4"/>
      <c r="G8" s="2" t="s">
        <v>99</v>
      </c>
      <c r="H8" s="2"/>
      <c r="I8" s="5"/>
    </row>
    <row r="10" spans="1:9" x14ac:dyDescent="0.3">
      <c r="B10" s="1" t="s">
        <v>112</v>
      </c>
      <c r="E10" s="86">
        <v>4.165E-2</v>
      </c>
      <c r="G10" s="1" t="s">
        <v>100</v>
      </c>
      <c r="I10" s="36">
        <f>E16</f>
        <v>1</v>
      </c>
    </row>
    <row r="11" spans="1:9" x14ac:dyDescent="0.3">
      <c r="B11" s="1" t="s">
        <v>113</v>
      </c>
      <c r="E11" s="86">
        <v>6.9699999999999998E-2</v>
      </c>
      <c r="F11" s="44"/>
      <c r="G11" s="1" t="s">
        <v>101</v>
      </c>
      <c r="I11" s="34">
        <f>(INDEX('detailed-financials'!$E$25:$R$25,MATCH(cover!$E$13,'detailed-financials'!$E$6:$R$6,0))-INDEX('detailed-financials'!$E$12:$R$12,MATCH(cover!$E$13,'detailed-financials'!$E$6:$R$6,0)))/$E$13</f>
        <v>0.67694871320125927</v>
      </c>
    </row>
    <row r="12" spans="1:9" x14ac:dyDescent="0.3">
      <c r="B12" s="1" t="s">
        <v>115</v>
      </c>
      <c r="E12" s="86">
        <f>summary!M28</f>
        <v>8.8768846246875754E-2</v>
      </c>
      <c r="G12" s="1" t="s">
        <v>102</v>
      </c>
      <c r="I12" s="37">
        <f>$E$15</f>
        <v>0.25</v>
      </c>
    </row>
    <row r="13" spans="1:9" x14ac:dyDescent="0.3">
      <c r="B13" s="1" t="s">
        <v>114</v>
      </c>
      <c r="E13" s="80">
        <v>108.02</v>
      </c>
      <c r="G13" s="1" t="s">
        <v>103</v>
      </c>
      <c r="I13" s="33">
        <f>I10*(1+(1-I12)*(I11))</f>
        <v>1.5077115349009445</v>
      </c>
    </row>
    <row r="14" spans="1:9" x14ac:dyDescent="0.3">
      <c r="B14" s="1" t="s">
        <v>158</v>
      </c>
      <c r="E14" s="87">
        <v>91.55</v>
      </c>
    </row>
    <row r="15" spans="1:9" x14ac:dyDescent="0.3">
      <c r="B15" s="1" t="s">
        <v>136</v>
      </c>
      <c r="E15" s="86">
        <v>0.25</v>
      </c>
      <c r="G15" s="1" t="s">
        <v>104</v>
      </c>
      <c r="I15" s="37">
        <f>WACC!$E$10</f>
        <v>4.165E-2</v>
      </c>
    </row>
    <row r="16" spans="1:9" x14ac:dyDescent="0.3">
      <c r="B16" s="1" t="s">
        <v>137</v>
      </c>
      <c r="E16" s="87">
        <v>1</v>
      </c>
      <c r="G16" s="1" t="s">
        <v>105</v>
      </c>
      <c r="I16" s="37">
        <f>WACC!$E$11</f>
        <v>6.9699999999999998E-2</v>
      </c>
    </row>
    <row r="17" spans="2:9" x14ac:dyDescent="0.3">
      <c r="B17" s="1" t="s">
        <v>138</v>
      </c>
      <c r="E17" s="86">
        <v>0</v>
      </c>
      <c r="G17" s="1" t="s">
        <v>106</v>
      </c>
      <c r="I17" s="42">
        <f>$E$17</f>
        <v>0</v>
      </c>
    </row>
    <row r="18" spans="2:9" x14ac:dyDescent="0.3">
      <c r="G18" s="1" t="s">
        <v>107</v>
      </c>
      <c r="I18" s="34">
        <f>I16*I13+I15+I17</f>
        <v>0.14673749398259583</v>
      </c>
    </row>
    <row r="19" spans="2:9" x14ac:dyDescent="0.3">
      <c r="E19" s="1"/>
      <c r="G19" s="1" t="s">
        <v>108</v>
      </c>
      <c r="I19" s="79">
        <f>I18</f>
        <v>0.14673749398259583</v>
      </c>
    </row>
    <row r="20" spans="2:9" x14ac:dyDescent="0.3">
      <c r="D20" s="43"/>
      <c r="E20" s="1"/>
      <c r="I20" s="35"/>
    </row>
    <row r="21" spans="2:9" x14ac:dyDescent="0.3">
      <c r="E21" s="1"/>
      <c r="G21" s="1" t="s">
        <v>109</v>
      </c>
      <c r="I21" s="37">
        <f>WACC!$E$12</f>
        <v>8.8768846246875754E-2</v>
      </c>
    </row>
    <row r="22" spans="2:9" x14ac:dyDescent="0.3">
      <c r="E22" s="1"/>
      <c r="G22" s="1" t="s">
        <v>110</v>
      </c>
      <c r="I22" s="34">
        <f>I21*(1-I12)</f>
        <v>6.6576634685156816E-2</v>
      </c>
    </row>
    <row r="23" spans="2:9" x14ac:dyDescent="0.3">
      <c r="E23" s="1"/>
      <c r="I23" s="35"/>
    </row>
    <row r="24" spans="2:9" x14ac:dyDescent="0.3">
      <c r="E24" s="1"/>
      <c r="G24" s="1" t="s">
        <v>99</v>
      </c>
      <c r="I24" s="34">
        <f>(I11/(1+I11))*I22+((1-I11/(1+I11))*I19)</f>
        <v>0.11437825119638192</v>
      </c>
    </row>
    <row r="25" spans="2:9" x14ac:dyDescent="0.3">
      <c r="G25" s="1" t="s">
        <v>111</v>
      </c>
      <c r="I25" s="79">
        <f>I24</f>
        <v>0.11437825119638192</v>
      </c>
    </row>
  </sheetData>
  <sheetProtection algorithmName="SHA-512" hashValue="O2Lz0EdEnfzG590ScLASvJu1biF+YknXihg2xytgoX3uPummqQQIHZmQfLE33BWgZC8bv+d96UibRUHINEt6sw==" saltValue="EzvjVaEVQtxPbPUkbelMxg==" spinCount="100000" sheet="1"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A531-A092-4387-AB46-45A4AD3DAB9E}">
  <dimension ref="A1:R97"/>
  <sheetViews>
    <sheetView zoomScale="84" workbookViewId="0">
      <pane xSplit="4" ySplit="7" topLeftCell="E22" activePane="bottomRight" state="frozen"/>
      <selection pane="topRight" activeCell="E1" sqref="E1"/>
      <selection pane="bottomLeft" activeCell="A9" sqref="A9"/>
      <selection pane="bottomRight" activeCell="K38" sqref="K38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6" width="12.6640625" style="8" customWidth="1"/>
    <col min="7" max="51" width="12.6640625" style="1" customWidth="1"/>
    <col min="52" max="16384" width="9.109375" style="1"/>
  </cols>
  <sheetData>
    <row r="1" spans="1:18" ht="33.6" x14ac:dyDescent="0.65">
      <c r="B1" s="88" t="s">
        <v>187</v>
      </c>
    </row>
    <row r="2" spans="1:18" s="15" customFormat="1" ht="15" thickBot="1" x14ac:dyDescent="0.35">
      <c r="A2" s="13"/>
      <c r="B2" s="14" t="str">
        <f>UPPER(cover!E8&amp;" - "&amp;DAY(cover!E12)&amp;"/"&amp;MONTH(cover!E12)&amp;"/"&amp;YEAR(cover!E12))</f>
        <v>ANEXO GROUP PLC - 13/5/2023</v>
      </c>
      <c r="E2" s="13"/>
      <c r="F2" s="13"/>
    </row>
    <row r="3" spans="1:18" ht="15" thickTop="1" x14ac:dyDescent="0.3">
      <c r="B3" s="25" t="str">
        <f>IF(checks!E10&lt;&gt;0,"**ERROR**","")</f>
        <v/>
      </c>
    </row>
    <row r="4" spans="1:18" s="3" customFormat="1" x14ac:dyDescent="0.3">
      <c r="A4" s="5"/>
      <c r="B4" s="2" t="s">
        <v>15</v>
      </c>
      <c r="D4" s="5" t="str">
        <f>cover!$E$10</f>
        <v>£m</v>
      </c>
      <c r="E4" s="4"/>
      <c r="F4" s="4"/>
    </row>
    <row r="6" spans="1:18" x14ac:dyDescent="0.3">
      <c r="B6" s="1" t="s">
        <v>18</v>
      </c>
      <c r="E6" s="16">
        <v>42735</v>
      </c>
      <c r="F6" s="16">
        <f t="shared" ref="F6:M6" si="0">EOMONTH(E6,12)</f>
        <v>43100</v>
      </c>
      <c r="G6" s="16">
        <f t="shared" si="0"/>
        <v>43465</v>
      </c>
      <c r="H6" s="16">
        <f t="shared" si="0"/>
        <v>43830</v>
      </c>
      <c r="I6" s="16">
        <f t="shared" si="0"/>
        <v>44196</v>
      </c>
      <c r="J6" s="16">
        <f t="shared" si="0"/>
        <v>44561</v>
      </c>
      <c r="K6" s="16">
        <f t="shared" si="0"/>
        <v>44926</v>
      </c>
      <c r="L6" s="16">
        <f t="shared" si="0"/>
        <v>45291</v>
      </c>
      <c r="M6" s="16">
        <f t="shared" si="0"/>
        <v>45657</v>
      </c>
      <c r="N6" s="16">
        <f t="shared" ref="N6:R6" si="1">EOMONTH(M6,12)</f>
        <v>46022</v>
      </c>
      <c r="O6" s="16">
        <f t="shared" si="1"/>
        <v>46387</v>
      </c>
      <c r="P6" s="16">
        <f t="shared" si="1"/>
        <v>46752</v>
      </c>
      <c r="Q6" s="16">
        <f t="shared" si="1"/>
        <v>47118</v>
      </c>
      <c r="R6" s="16">
        <f t="shared" si="1"/>
        <v>47483</v>
      </c>
    </row>
    <row r="7" spans="1:18" x14ac:dyDescent="0.3">
      <c r="B7" s="1" t="s">
        <v>57</v>
      </c>
      <c r="E7" s="1">
        <v>12</v>
      </c>
      <c r="F7" s="1">
        <f t="shared" ref="F7" si="2">YEAR(F6)*12+MONTH(F6)-YEAR(E6)*12-MONTH(E6)</f>
        <v>12</v>
      </c>
      <c r="G7" s="1">
        <f t="shared" ref="G7" si="3">YEAR(G6)*12+MONTH(G6)-YEAR(F6)*12-MONTH(F6)</f>
        <v>12</v>
      </c>
      <c r="H7" s="1">
        <f t="shared" ref="H7" si="4">YEAR(H6)*12+MONTH(H6)-YEAR(G6)*12-MONTH(G6)</f>
        <v>12</v>
      </c>
      <c r="I7" s="1">
        <f t="shared" ref="I7" si="5">YEAR(I6)*12+MONTH(I6)-YEAR(H6)*12-MONTH(H6)</f>
        <v>12</v>
      </c>
      <c r="J7" s="1">
        <f t="shared" ref="J7" si="6">YEAR(J6)*12+MONTH(J6)-YEAR(I6)*12-MONTH(I6)</f>
        <v>12</v>
      </c>
      <c r="K7" s="1">
        <f t="shared" ref="K7" si="7">YEAR(K6)*12+MONTH(K6)-YEAR(J6)*12-MONTH(J6)</f>
        <v>12</v>
      </c>
      <c r="L7" s="1">
        <f t="shared" ref="L7" si="8">YEAR(L6)*12+MONTH(L6)-YEAR(K6)*12-MONTH(K6)</f>
        <v>12</v>
      </c>
      <c r="M7" s="1">
        <f t="shared" ref="M7" si="9">YEAR(M6)*12+MONTH(M6)-YEAR(L6)*12-MONTH(L6)</f>
        <v>12</v>
      </c>
      <c r="N7" s="1">
        <f t="shared" ref="N7" si="10">YEAR(N6)*12+MONTH(N6)-YEAR(M6)*12-MONTH(M6)</f>
        <v>12</v>
      </c>
      <c r="O7" s="1">
        <f t="shared" ref="O7" si="11">YEAR(O6)*12+MONTH(O6)-YEAR(N6)*12-MONTH(N6)</f>
        <v>12</v>
      </c>
      <c r="P7" s="1">
        <f t="shared" ref="P7" si="12">YEAR(P6)*12+MONTH(P6)-YEAR(O6)*12-MONTH(O6)</f>
        <v>12</v>
      </c>
      <c r="Q7" s="1">
        <f t="shared" ref="Q7" si="13">YEAR(Q6)*12+MONTH(Q6)-YEAR(P6)*12-MONTH(P6)</f>
        <v>12</v>
      </c>
      <c r="R7" s="1">
        <f t="shared" ref="R7" si="14">YEAR(R6)*12+MONTH(R6)-YEAR(Q6)*12-MONTH(Q6)</f>
        <v>12</v>
      </c>
    </row>
    <row r="10" spans="1:18" x14ac:dyDescent="0.3">
      <c r="B10" s="2" t="s">
        <v>45</v>
      </c>
      <c r="C10" s="3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  <c r="R10" s="5"/>
    </row>
    <row r="12" spans="1:18" x14ac:dyDescent="0.3">
      <c r="B12" s="1" t="s">
        <v>16</v>
      </c>
      <c r="E12" s="73">
        <v>0.236341</v>
      </c>
      <c r="F12" s="73">
        <v>0.20200000000000001</v>
      </c>
      <c r="G12" s="73">
        <v>5.532</v>
      </c>
      <c r="H12" s="73">
        <v>2.27</v>
      </c>
      <c r="I12" s="73">
        <v>8.2200000000000006</v>
      </c>
      <c r="J12" s="73">
        <v>7.5620000000000003</v>
      </c>
      <c r="K12" s="73">
        <v>9.0489999999999995</v>
      </c>
      <c r="L12" s="24">
        <f>L94</f>
        <v>10.181576850266898</v>
      </c>
      <c r="M12" s="24">
        <f>M94</f>
        <v>26.528401091603193</v>
      </c>
      <c r="N12" s="24">
        <f>N94</f>
        <v>43.302975352907353</v>
      </c>
      <c r="O12" s="24">
        <f>O94</f>
        <v>60.458313771287536</v>
      </c>
      <c r="P12" s="24">
        <f t="shared" ref="P12:R12" si="15">P94</f>
        <v>77.977089708400797</v>
      </c>
      <c r="Q12" s="24">
        <f t="shared" si="15"/>
        <v>95.855371162410663</v>
      </c>
      <c r="R12" s="24">
        <f t="shared" si="15"/>
        <v>114.91518310252415</v>
      </c>
    </row>
    <row r="13" spans="1:18" x14ac:dyDescent="0.3">
      <c r="B13" s="1" t="s">
        <v>17</v>
      </c>
      <c r="E13" s="73">
        <v>15.190448999999999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24">
        <f>summary!L30/365*L43*12/L7</f>
        <v>0</v>
      </c>
      <c r="M13" s="24">
        <f>summary!M30/365*M43*12/M7</f>
        <v>0</v>
      </c>
      <c r="N13" s="24">
        <f>summary!N30/365*N43</f>
        <v>0</v>
      </c>
      <c r="O13" s="24">
        <f>summary!O30/365*O43</f>
        <v>0</v>
      </c>
      <c r="P13" s="24">
        <f>summary!P30/365*P43</f>
        <v>0</v>
      </c>
      <c r="Q13" s="24">
        <f>summary!Q30/365*Q43</f>
        <v>0</v>
      </c>
      <c r="R13" s="24">
        <f>summary!R30/365*R43</f>
        <v>0</v>
      </c>
    </row>
    <row r="14" spans="1:18" x14ac:dyDescent="0.3">
      <c r="B14" s="1" t="s">
        <v>19</v>
      </c>
      <c r="E14" s="73">
        <v>52.681888999999998</v>
      </c>
      <c r="F14" s="73">
        <v>80.421000000000006</v>
      </c>
      <c r="G14" s="73">
        <v>100.83199999999999</v>
      </c>
      <c r="H14" s="73">
        <v>126.81399999999999</v>
      </c>
      <c r="I14" s="73">
        <v>147.774</v>
      </c>
      <c r="J14" s="73">
        <v>188.13399999999999</v>
      </c>
      <c r="K14" s="73">
        <v>222.27199999999999</v>
      </c>
      <c r="L14" s="24">
        <f>L43*summary!L31/365*12/L7</f>
        <v>229.86807305114795</v>
      </c>
      <c r="M14" s="24">
        <f>M43*summary!M31/365*12/M7</f>
        <v>234.4654345121709</v>
      </c>
      <c r="N14" s="24">
        <f>N43*summary!N31/365</f>
        <v>239.15474320241432</v>
      </c>
      <c r="O14" s="24">
        <f>O43*summary!O31/365</f>
        <v>243.93783806646258</v>
      </c>
      <c r="P14" s="24">
        <f>P43*summary!P31/365</f>
        <v>248.81659482779187</v>
      </c>
      <c r="Q14" s="24">
        <f>Q43*summary!Q31/365</f>
        <v>253.79292672434769</v>
      </c>
      <c r="R14" s="24">
        <f>R43*summary!R31/365</f>
        <v>258.86878525883463</v>
      </c>
    </row>
    <row r="15" spans="1:18" x14ac:dyDescent="0.3">
      <c r="B15" s="1" t="s">
        <v>20</v>
      </c>
      <c r="E15" s="73"/>
      <c r="F15" s="73"/>
      <c r="G15" s="73"/>
      <c r="H15" s="73"/>
      <c r="I15" s="73"/>
      <c r="J15" s="73"/>
      <c r="K15" s="73"/>
      <c r="L15" s="24">
        <f t="shared" ref="L15:M17" si="16">K15</f>
        <v>0</v>
      </c>
      <c r="M15" s="24">
        <f t="shared" si="16"/>
        <v>0</v>
      </c>
      <c r="N15" s="24">
        <f t="shared" ref="N15:R15" si="17">M15</f>
        <v>0</v>
      </c>
      <c r="O15" s="24">
        <f t="shared" si="17"/>
        <v>0</v>
      </c>
      <c r="P15" s="24">
        <f t="shared" si="17"/>
        <v>0</v>
      </c>
      <c r="Q15" s="24">
        <f t="shared" si="17"/>
        <v>0</v>
      </c>
      <c r="R15" s="24">
        <f t="shared" si="17"/>
        <v>0</v>
      </c>
    </row>
    <row r="16" spans="1:18" x14ac:dyDescent="0.3">
      <c r="B16" s="1" t="s">
        <v>22</v>
      </c>
      <c r="E16" s="73"/>
      <c r="F16" s="73"/>
      <c r="G16" s="73"/>
      <c r="H16" s="73"/>
      <c r="I16" s="73"/>
      <c r="J16" s="73"/>
      <c r="K16" s="73"/>
      <c r="L16" s="24">
        <f t="shared" si="16"/>
        <v>0</v>
      </c>
      <c r="M16" s="24">
        <f t="shared" si="16"/>
        <v>0</v>
      </c>
      <c r="N16" s="24">
        <f t="shared" ref="N16:R16" si="18">M16</f>
        <v>0</v>
      </c>
      <c r="O16" s="24">
        <f t="shared" si="18"/>
        <v>0</v>
      </c>
      <c r="P16" s="24">
        <f t="shared" si="18"/>
        <v>0</v>
      </c>
      <c r="Q16" s="24">
        <f t="shared" si="18"/>
        <v>0</v>
      </c>
      <c r="R16" s="24">
        <f t="shared" si="18"/>
        <v>0</v>
      </c>
    </row>
    <row r="17" spans="2:18" x14ac:dyDescent="0.3">
      <c r="B17" s="1" t="s">
        <v>21</v>
      </c>
      <c r="E17" s="73">
        <v>0</v>
      </c>
      <c r="F17" s="73">
        <v>0.17199999999999704</v>
      </c>
      <c r="G17" s="73">
        <v>0.61300000000001376</v>
      </c>
      <c r="H17" s="73">
        <v>0.95399999999999952</v>
      </c>
      <c r="I17" s="73">
        <v>0.70800000000000374</v>
      </c>
      <c r="J17" s="73">
        <v>0.112</v>
      </c>
      <c r="K17" s="73">
        <f>0.112+0.606</f>
        <v>0.71799999999999997</v>
      </c>
      <c r="L17" s="24">
        <f t="shared" si="16"/>
        <v>0.71799999999999997</v>
      </c>
      <c r="M17" s="24">
        <f t="shared" si="16"/>
        <v>0.71799999999999997</v>
      </c>
      <c r="N17" s="24">
        <f t="shared" ref="N17:R17" si="19">M17</f>
        <v>0.71799999999999997</v>
      </c>
      <c r="O17" s="24">
        <f t="shared" si="19"/>
        <v>0.71799999999999997</v>
      </c>
      <c r="P17" s="24">
        <f t="shared" si="19"/>
        <v>0.71799999999999997</v>
      </c>
      <c r="Q17" s="24">
        <f t="shared" si="19"/>
        <v>0.71799999999999997</v>
      </c>
      <c r="R17" s="24">
        <f t="shared" si="19"/>
        <v>0.71799999999999997</v>
      </c>
    </row>
    <row r="18" spans="2:18" x14ac:dyDescent="0.3">
      <c r="B18" s="1" t="s">
        <v>157</v>
      </c>
      <c r="E18" s="73">
        <v>0.96023400000000003</v>
      </c>
      <c r="F18" s="73">
        <v>1.52</v>
      </c>
      <c r="G18" s="73">
        <v>3.27</v>
      </c>
      <c r="H18" s="73">
        <v>11.669</v>
      </c>
      <c r="I18" s="73">
        <v>15.502000000000001</v>
      </c>
      <c r="J18" s="73">
        <v>19.155000000000001</v>
      </c>
      <c r="K18" s="73">
        <f>2.072+12.657+0.071</f>
        <v>14.799999999999999</v>
      </c>
      <c r="L18" s="24">
        <f t="shared" ref="L18:R18" si="20">K18-L77+L78+L49</f>
        <v>16.725925565126598</v>
      </c>
      <c r="M18" s="24">
        <f t="shared" si="20"/>
        <v>17.79240020857317</v>
      </c>
      <c r="N18" s="24">
        <f t="shared" si="20"/>
        <v>18.476950204324009</v>
      </c>
      <c r="O18" s="24">
        <f t="shared" si="20"/>
        <v>18.994100512590382</v>
      </c>
      <c r="P18" s="24">
        <f t="shared" si="20"/>
        <v>19.440270825559779</v>
      </c>
      <c r="Q18" s="24">
        <f t="shared" si="20"/>
        <v>19.858844552171561</v>
      </c>
      <c r="R18" s="24">
        <f t="shared" si="20"/>
        <v>20.269389597925784</v>
      </c>
    </row>
    <row r="19" spans="2:18" x14ac:dyDescent="0.3">
      <c r="B19" s="1" t="s">
        <v>24</v>
      </c>
      <c r="E19" s="73"/>
      <c r="F19" s="73"/>
      <c r="G19" s="73"/>
      <c r="H19" s="73"/>
      <c r="I19" s="73"/>
      <c r="J19" s="73"/>
      <c r="K19" s="73"/>
      <c r="L19" s="24">
        <f>K19</f>
        <v>0</v>
      </c>
      <c r="M19" s="24">
        <f>L19</f>
        <v>0</v>
      </c>
      <c r="N19" s="24">
        <f t="shared" ref="N19:R19" si="21">M19</f>
        <v>0</v>
      </c>
      <c r="O19" s="24">
        <f t="shared" si="21"/>
        <v>0</v>
      </c>
      <c r="P19" s="24">
        <f t="shared" si="21"/>
        <v>0</v>
      </c>
      <c r="Q19" s="24">
        <f t="shared" si="21"/>
        <v>0</v>
      </c>
      <c r="R19" s="24">
        <f t="shared" si="21"/>
        <v>0</v>
      </c>
    </row>
    <row r="20" spans="2:18" ht="15" thickBot="1" x14ac:dyDescent="0.35">
      <c r="B20" s="17" t="s">
        <v>23</v>
      </c>
      <c r="C20" s="17"/>
      <c r="D20" s="17"/>
      <c r="E20" s="74">
        <f t="shared" ref="E20:R20" si="22">SUM(E12:E19)</f>
        <v>69.068912999999995</v>
      </c>
      <c r="F20" s="74">
        <f t="shared" si="22"/>
        <v>82.314999999999998</v>
      </c>
      <c r="G20" s="74">
        <f t="shared" si="22"/>
        <v>110.247</v>
      </c>
      <c r="H20" s="74">
        <f t="shared" si="22"/>
        <v>141.70700000000002</v>
      </c>
      <c r="I20" s="74">
        <f t="shared" si="22"/>
        <v>172.20400000000001</v>
      </c>
      <c r="J20" s="74">
        <f t="shared" si="22"/>
        <v>214.96299999999999</v>
      </c>
      <c r="K20" s="74">
        <f t="shared" si="22"/>
        <v>246.839</v>
      </c>
      <c r="L20" s="26">
        <f t="shared" si="22"/>
        <v>257.49357546654142</v>
      </c>
      <c r="M20" s="26">
        <f t="shared" si="22"/>
        <v>279.50423581234725</v>
      </c>
      <c r="N20" s="26">
        <f t="shared" si="22"/>
        <v>301.65266875964568</v>
      </c>
      <c r="O20" s="26">
        <f t="shared" si="22"/>
        <v>324.10825235034048</v>
      </c>
      <c r="P20" s="26">
        <f t="shared" si="22"/>
        <v>346.95195536175248</v>
      </c>
      <c r="Q20" s="26">
        <f t="shared" si="22"/>
        <v>370.22514243892994</v>
      </c>
      <c r="R20" s="26">
        <f t="shared" si="22"/>
        <v>394.77135795928461</v>
      </c>
    </row>
    <row r="21" spans="2:18" ht="15" thickTop="1" x14ac:dyDescent="0.3">
      <c r="E21" s="73"/>
      <c r="F21" s="73"/>
      <c r="G21" s="73"/>
      <c r="H21" s="73"/>
      <c r="I21" s="73"/>
      <c r="J21" s="73"/>
      <c r="K21" s="73"/>
      <c r="L21" s="24"/>
      <c r="M21" s="24"/>
      <c r="N21" s="24"/>
      <c r="O21" s="24"/>
      <c r="P21" s="24"/>
      <c r="Q21" s="24"/>
      <c r="R21" s="24"/>
    </row>
    <row r="22" spans="2:18" x14ac:dyDescent="0.3">
      <c r="B22" s="1" t="s">
        <v>27</v>
      </c>
      <c r="E22" s="73">
        <v>22.077856000000001</v>
      </c>
      <c r="F22" s="73">
        <v>13.52</v>
      </c>
      <c r="G22" s="73">
        <v>16.04</v>
      </c>
      <c r="H22" s="73">
        <v>18.773000000000003</v>
      </c>
      <c r="I22" s="73">
        <v>24.766999999999996</v>
      </c>
      <c r="J22" s="73">
        <f>12.635+4.496</f>
        <v>17.131</v>
      </c>
      <c r="K22" s="73">
        <f>13.225+5.062</f>
        <v>18.286999999999999</v>
      </c>
      <c r="L22" s="24">
        <f>-L44*summary!L32/365*12/L7</f>
        <v>18.652739999999994</v>
      </c>
      <c r="M22" s="24">
        <f>-M44*summary!M32/365*12/M7</f>
        <v>19.025794799999996</v>
      </c>
      <c r="N22" s="24">
        <f>-N44*summary!N32/365*12/N7</f>
        <v>19.406310695999995</v>
      </c>
      <c r="O22" s="24">
        <f>-O44*summary!O32/365*12/O7</f>
        <v>19.794436909919998</v>
      </c>
      <c r="P22" s="24">
        <f>-P44*summary!P32/365*12/P7</f>
        <v>20.190325648118396</v>
      </c>
      <c r="Q22" s="24">
        <f>-Q44*summary!Q32/365*12/Q7</f>
        <v>20.594132161080761</v>
      </c>
      <c r="R22" s="24">
        <f>-R44*summary!R32/365*12/R7</f>
        <v>20.758750943317146</v>
      </c>
    </row>
    <row r="23" spans="2:18" x14ac:dyDescent="0.3">
      <c r="B23" s="1" t="s">
        <v>28</v>
      </c>
      <c r="E23" s="73"/>
      <c r="F23" s="73"/>
      <c r="G23" s="73"/>
      <c r="H23" s="73"/>
      <c r="I23" s="73"/>
      <c r="J23" s="73"/>
      <c r="K23" s="73"/>
      <c r="L23" s="24">
        <f t="shared" ref="L23:M24" si="23">K23</f>
        <v>0</v>
      </c>
      <c r="M23" s="24">
        <f t="shared" si="23"/>
        <v>0</v>
      </c>
      <c r="N23" s="24">
        <f t="shared" ref="N23:R23" si="24">M23</f>
        <v>0</v>
      </c>
      <c r="O23" s="24">
        <f t="shared" si="24"/>
        <v>0</v>
      </c>
      <c r="P23" s="24">
        <f t="shared" si="24"/>
        <v>0</v>
      </c>
      <c r="Q23" s="24">
        <f t="shared" si="24"/>
        <v>0</v>
      </c>
      <c r="R23" s="24">
        <f t="shared" si="24"/>
        <v>0</v>
      </c>
    </row>
    <row r="24" spans="2:18" x14ac:dyDescent="0.3">
      <c r="B24" s="1" t="s">
        <v>29</v>
      </c>
      <c r="E24" s="73"/>
      <c r="F24" s="73"/>
      <c r="G24" s="73"/>
      <c r="H24" s="73"/>
      <c r="I24" s="73"/>
      <c r="J24" s="73"/>
      <c r="K24" s="73"/>
      <c r="L24" s="24">
        <f t="shared" si="23"/>
        <v>0</v>
      </c>
      <c r="M24" s="24">
        <f t="shared" si="23"/>
        <v>0</v>
      </c>
      <c r="N24" s="24">
        <f t="shared" ref="N24:R24" si="25">M24</f>
        <v>0</v>
      </c>
      <c r="O24" s="24">
        <f t="shared" si="25"/>
        <v>0</v>
      </c>
      <c r="P24" s="24">
        <f t="shared" si="25"/>
        <v>0</v>
      </c>
      <c r="Q24" s="24">
        <f t="shared" si="25"/>
        <v>0</v>
      </c>
      <c r="R24" s="24">
        <f t="shared" si="25"/>
        <v>0</v>
      </c>
    </row>
    <row r="25" spans="2:18" x14ac:dyDescent="0.3">
      <c r="B25" s="1" t="s">
        <v>26</v>
      </c>
      <c r="E25" s="73">
        <f>'[1]3 Statement Model'!J118+'[1]3 Statement Model'!J115</f>
        <v>0.21485799999999999</v>
      </c>
      <c r="F25" s="73">
        <f>'[1]3 Statement Model'!K118+'[1]3 Statement Model'!K115</f>
        <v>13.163</v>
      </c>
      <c r="G25" s="73">
        <f>'[1]3 Statement Model'!L118+'[1]3 Statement Model'!L115</f>
        <v>18.406000000000002</v>
      </c>
      <c r="H25" s="73">
        <f>'[1]3 Statement Model'!M118+'[1]3 Statement Model'!M115</f>
        <v>31.206</v>
      </c>
      <c r="I25" s="73">
        <f>'[1]3 Statement Model'!N118+'[1]3 Statement Model'!N115</f>
        <v>36.966999999999999</v>
      </c>
      <c r="J25" s="73">
        <f>13.814+8.43+38.499+8.833</f>
        <v>69.576000000000008</v>
      </c>
      <c r="K25" s="73">
        <f>25+7.176+43.594+6.403</f>
        <v>82.173000000000016</v>
      </c>
      <c r="L25" s="24">
        <f>L48*summary!L33*12/L7</f>
        <v>72.380667834014645</v>
      </c>
      <c r="M25" s="24">
        <f>M48*summary!M33*12/M7</f>
        <v>73.828281190694923</v>
      </c>
      <c r="N25" s="24">
        <f>N48*summary!N33*12/N7</f>
        <v>75.304846814508807</v>
      </c>
      <c r="O25" s="24">
        <f>O48*summary!O33*12/O7</f>
        <v>76.810943750798984</v>
      </c>
      <c r="P25" s="24">
        <f>P48*summary!P33*12/P7</f>
        <v>78.34716262581496</v>
      </c>
      <c r="Q25" s="24">
        <f>Q48*summary!Q33*12/Q7</f>
        <v>79.91410587833127</v>
      </c>
      <c r="R25" s="24">
        <f>R48*summary!R33*12/R7</f>
        <v>82.274776344248892</v>
      </c>
    </row>
    <row r="26" spans="2:18" x14ac:dyDescent="0.3">
      <c r="B26" s="1" t="s">
        <v>42</v>
      </c>
      <c r="E26" s="73">
        <v>2.0178000000000001E-2</v>
      </c>
      <c r="F26" s="73">
        <v>0</v>
      </c>
      <c r="G26" s="73">
        <v>0</v>
      </c>
      <c r="H26" s="73">
        <v>3.2000000000000028E-2</v>
      </c>
      <c r="I26" s="73">
        <v>3.2000000000000028E-2</v>
      </c>
      <c r="J26" s="73">
        <f>0.032</f>
        <v>3.2000000000000001E-2</v>
      </c>
      <c r="K26" s="73">
        <v>3.2000000000000001E-2</v>
      </c>
      <c r="L26" s="24">
        <f>K26</f>
        <v>3.2000000000000001E-2</v>
      </c>
      <c r="M26" s="24">
        <f>L26</f>
        <v>3.2000000000000001E-2</v>
      </c>
      <c r="N26" s="24">
        <f t="shared" ref="N26:R26" si="26">M26</f>
        <v>3.2000000000000001E-2</v>
      </c>
      <c r="O26" s="24">
        <f t="shared" si="26"/>
        <v>3.2000000000000001E-2</v>
      </c>
      <c r="P26" s="24">
        <f t="shared" si="26"/>
        <v>3.2000000000000001E-2</v>
      </c>
      <c r="Q26" s="24">
        <f t="shared" si="26"/>
        <v>3.2000000000000001E-2</v>
      </c>
      <c r="R26" s="24">
        <f t="shared" si="26"/>
        <v>3.2000000000000001E-2</v>
      </c>
    </row>
    <row r="27" spans="2:18" ht="15" thickBot="1" x14ac:dyDescent="0.35">
      <c r="B27" s="17" t="s">
        <v>25</v>
      </c>
      <c r="C27" s="17"/>
      <c r="D27" s="17"/>
      <c r="E27" s="74">
        <f t="shared" ref="E27:R27" si="27">SUM(E22:E26)</f>
        <v>22.312892000000002</v>
      </c>
      <c r="F27" s="74">
        <f t="shared" si="27"/>
        <v>26.683</v>
      </c>
      <c r="G27" s="74">
        <f t="shared" si="27"/>
        <v>34.445999999999998</v>
      </c>
      <c r="H27" s="74">
        <f t="shared" si="27"/>
        <v>50.010999999999996</v>
      </c>
      <c r="I27" s="74">
        <f t="shared" si="27"/>
        <v>61.765999999999991</v>
      </c>
      <c r="J27" s="74">
        <f t="shared" si="27"/>
        <v>86.739000000000004</v>
      </c>
      <c r="K27" s="74">
        <f t="shared" si="27"/>
        <v>100.492</v>
      </c>
      <c r="L27" s="26">
        <f t="shared" si="27"/>
        <v>91.065407834014636</v>
      </c>
      <c r="M27" s="26">
        <f t="shared" si="27"/>
        <v>92.88607599069492</v>
      </c>
      <c r="N27" s="26">
        <f t="shared" si="27"/>
        <v>94.743157510508794</v>
      </c>
      <c r="O27" s="26">
        <f t="shared" si="27"/>
        <v>96.637380660718975</v>
      </c>
      <c r="P27" s="26">
        <f t="shared" si="27"/>
        <v>98.569488273933345</v>
      </c>
      <c r="Q27" s="26">
        <f t="shared" si="27"/>
        <v>100.54023803941203</v>
      </c>
      <c r="R27" s="26">
        <f t="shared" si="27"/>
        <v>103.06552728756604</v>
      </c>
    </row>
    <row r="28" spans="2:18" ht="15" thickTop="1" x14ac:dyDescent="0.3">
      <c r="E28" s="73"/>
      <c r="F28" s="73"/>
      <c r="G28" s="73"/>
      <c r="H28" s="73"/>
      <c r="I28" s="73"/>
      <c r="J28" s="73"/>
      <c r="K28" s="73"/>
      <c r="L28" s="24"/>
      <c r="M28" s="24"/>
      <c r="N28" s="24"/>
      <c r="O28" s="24"/>
      <c r="P28" s="24"/>
      <c r="Q28" s="24"/>
      <c r="R28" s="24"/>
    </row>
    <row r="29" spans="2:18" ht="15" thickBot="1" x14ac:dyDescent="0.35">
      <c r="B29" s="17" t="s">
        <v>30</v>
      </c>
      <c r="C29" s="17"/>
      <c r="D29" s="17"/>
      <c r="E29" s="74">
        <f t="shared" ref="E29:R29" si="28">E20-E27</f>
        <v>46.75602099999999</v>
      </c>
      <c r="F29" s="74">
        <f t="shared" si="28"/>
        <v>55.631999999999998</v>
      </c>
      <c r="G29" s="74">
        <f t="shared" si="28"/>
        <v>75.801000000000002</v>
      </c>
      <c r="H29" s="74">
        <f t="shared" si="28"/>
        <v>91.696000000000026</v>
      </c>
      <c r="I29" s="74">
        <f t="shared" si="28"/>
        <v>110.43800000000002</v>
      </c>
      <c r="J29" s="74">
        <f t="shared" si="28"/>
        <v>128.22399999999999</v>
      </c>
      <c r="K29" s="74">
        <f t="shared" si="28"/>
        <v>146.34699999999998</v>
      </c>
      <c r="L29" s="26">
        <f t="shared" si="28"/>
        <v>166.42816763252677</v>
      </c>
      <c r="M29" s="26">
        <f t="shared" si="28"/>
        <v>186.61815982165234</v>
      </c>
      <c r="N29" s="26">
        <f t="shared" si="28"/>
        <v>206.90951124913687</v>
      </c>
      <c r="O29" s="26">
        <f t="shared" si="28"/>
        <v>227.4708716896215</v>
      </c>
      <c r="P29" s="26">
        <f t="shared" si="28"/>
        <v>248.38246708781912</v>
      </c>
      <c r="Q29" s="26">
        <f t="shared" si="28"/>
        <v>269.6849043995179</v>
      </c>
      <c r="R29" s="26">
        <f t="shared" si="28"/>
        <v>291.70583067171856</v>
      </c>
    </row>
    <row r="30" spans="2:18" ht="15" thickTop="1" x14ac:dyDescent="0.3">
      <c r="E30" s="73"/>
      <c r="F30" s="73"/>
      <c r="G30" s="73"/>
      <c r="H30" s="73"/>
      <c r="I30" s="73"/>
      <c r="J30" s="73"/>
      <c r="K30" s="73"/>
      <c r="L30" s="24"/>
      <c r="M30" s="24"/>
      <c r="N30" s="24"/>
      <c r="O30" s="24"/>
      <c r="P30" s="24"/>
      <c r="Q30" s="24"/>
      <c r="R30" s="24"/>
    </row>
    <row r="31" spans="2:18" x14ac:dyDescent="0.3">
      <c r="B31" s="1" t="s">
        <v>31</v>
      </c>
      <c r="E31" s="73"/>
      <c r="F31" s="73"/>
      <c r="G31" s="73"/>
      <c r="H31" s="73"/>
      <c r="I31" s="73"/>
      <c r="J31" s="73">
        <f>0.058+16.161</f>
        <v>16.219000000000001</v>
      </c>
      <c r="K31" s="73">
        <f>0.059+16.161</f>
        <v>16.220000000000002</v>
      </c>
      <c r="L31" s="24">
        <f>K31</f>
        <v>16.220000000000002</v>
      </c>
      <c r="M31" s="24">
        <f>L31</f>
        <v>16.220000000000002</v>
      </c>
      <c r="N31" s="24">
        <f t="shared" ref="N31:R31" si="29">M31</f>
        <v>16.220000000000002</v>
      </c>
      <c r="O31" s="24">
        <f t="shared" si="29"/>
        <v>16.220000000000002</v>
      </c>
      <c r="P31" s="24">
        <f t="shared" si="29"/>
        <v>16.220000000000002</v>
      </c>
      <c r="Q31" s="24">
        <f t="shared" si="29"/>
        <v>16.220000000000002</v>
      </c>
      <c r="R31" s="24">
        <f t="shared" si="29"/>
        <v>16.220000000000002</v>
      </c>
    </row>
    <row r="32" spans="2:18" x14ac:dyDescent="0.3">
      <c r="B32" s="1" t="s">
        <v>32</v>
      </c>
      <c r="E32" s="73">
        <v>46.755915999999999</v>
      </c>
      <c r="F32" s="73">
        <v>55.541999999999994</v>
      </c>
      <c r="G32" s="73">
        <v>66.510999999999996</v>
      </c>
      <c r="H32" s="73">
        <v>82.406000000000006</v>
      </c>
      <c r="I32" s="73">
        <v>94.218999999999994</v>
      </c>
      <c r="J32" s="73">
        <v>109.928</v>
      </c>
      <c r="K32" s="73">
        <v>130.12700000000001</v>
      </c>
      <c r="L32" s="24">
        <f>K32+L57+L85+L86</f>
        <v>150.20816763252685</v>
      </c>
      <c r="M32" s="24">
        <f>L32+M57+M85+M86</f>
        <v>170.3981598216524</v>
      </c>
      <c r="N32" s="24">
        <f t="shared" ref="N32:R32" si="30">M32+N57+N85+N86</f>
        <v>190.68951124913696</v>
      </c>
      <c r="O32" s="24">
        <f t="shared" si="30"/>
        <v>211.25087168962159</v>
      </c>
      <c r="P32" s="24">
        <f t="shared" si="30"/>
        <v>232.16246708781918</v>
      </c>
      <c r="Q32" s="24">
        <f t="shared" si="30"/>
        <v>253.46490439951796</v>
      </c>
      <c r="R32" s="24">
        <f t="shared" si="30"/>
        <v>275.48583067171859</v>
      </c>
    </row>
    <row r="33" spans="2:18" x14ac:dyDescent="0.3">
      <c r="B33" s="1" t="s">
        <v>33</v>
      </c>
      <c r="E33" s="73">
        <v>1.05E-4</v>
      </c>
      <c r="F33" s="73">
        <v>0.09</v>
      </c>
      <c r="G33" s="73">
        <v>9.2899999999999991</v>
      </c>
      <c r="H33" s="73">
        <v>9.2899999999999991</v>
      </c>
      <c r="I33" s="73">
        <v>16.219000000000001</v>
      </c>
      <c r="J33" s="73">
        <v>2.077</v>
      </c>
      <c r="K33" s="73">
        <v>0</v>
      </c>
      <c r="L33" s="24">
        <f>K33</f>
        <v>0</v>
      </c>
      <c r="M33" s="24">
        <f>L33</f>
        <v>0</v>
      </c>
      <c r="N33" s="24">
        <f t="shared" ref="N33:R33" si="31">M33</f>
        <v>0</v>
      </c>
      <c r="O33" s="24">
        <f t="shared" si="31"/>
        <v>0</v>
      </c>
      <c r="P33" s="24">
        <f t="shared" si="31"/>
        <v>0</v>
      </c>
      <c r="Q33" s="24">
        <f t="shared" si="31"/>
        <v>0</v>
      </c>
      <c r="R33" s="24">
        <f t="shared" si="31"/>
        <v>0</v>
      </c>
    </row>
    <row r="34" spans="2:18" ht="15" thickBot="1" x14ac:dyDescent="0.35">
      <c r="B34" s="17" t="s">
        <v>34</v>
      </c>
      <c r="C34" s="17"/>
      <c r="D34" s="17"/>
      <c r="E34" s="74">
        <f>SUM(E31:E33)</f>
        <v>46.756020999999997</v>
      </c>
      <c r="F34" s="74">
        <f>SUM(F31:F33)</f>
        <v>55.631999999999998</v>
      </c>
      <c r="G34" s="74">
        <f t="shared" ref="G34:O34" si="32">SUM(G31:G33)</f>
        <v>75.800999999999988</v>
      </c>
      <c r="H34" s="74">
        <f t="shared" ref="H34:I34" si="33">SUM(H31:H33)</f>
        <v>91.695999999999998</v>
      </c>
      <c r="I34" s="74">
        <f t="shared" si="33"/>
        <v>110.43799999999999</v>
      </c>
      <c r="J34" s="74">
        <f t="shared" si="32"/>
        <v>128.22399999999999</v>
      </c>
      <c r="K34" s="74">
        <f t="shared" si="32"/>
        <v>146.34700000000001</v>
      </c>
      <c r="L34" s="26">
        <f>SUM(L31:L33)</f>
        <v>166.42816763252685</v>
      </c>
      <c r="M34" s="26">
        <f>SUM(M31:M33)</f>
        <v>186.6181598216524</v>
      </c>
      <c r="N34" s="26">
        <f>SUM(N31:N33)</f>
        <v>206.90951124913695</v>
      </c>
      <c r="O34" s="26">
        <f t="shared" si="32"/>
        <v>227.47087168962159</v>
      </c>
      <c r="P34" s="26">
        <f t="shared" ref="P34" si="34">SUM(P31:P33)</f>
        <v>248.38246708781918</v>
      </c>
      <c r="Q34" s="26">
        <f t="shared" ref="Q34" si="35">SUM(Q31:Q33)</f>
        <v>269.68490439951796</v>
      </c>
      <c r="R34" s="26">
        <f t="shared" ref="R34" si="36">SUM(R31:R33)</f>
        <v>291.70583067171862</v>
      </c>
    </row>
    <row r="35" spans="2:18" ht="15" thickTop="1" x14ac:dyDescent="0.3">
      <c r="B35" s="1" t="s">
        <v>35</v>
      </c>
      <c r="E35" s="73"/>
      <c r="F35" s="73"/>
      <c r="G35" s="73"/>
      <c r="H35" s="73"/>
      <c r="I35" s="73"/>
      <c r="J35" s="73"/>
      <c r="K35" s="73"/>
      <c r="L35" s="24">
        <f>K35+L58+L84</f>
        <v>0</v>
      </c>
      <c r="M35" s="24">
        <f>L35+M58+M84</f>
        <v>0</v>
      </c>
      <c r="N35" s="24">
        <f t="shared" ref="N35:R35" si="37">M35+N58+N84</f>
        <v>0</v>
      </c>
      <c r="O35" s="24">
        <f t="shared" si="37"/>
        <v>0</v>
      </c>
      <c r="P35" s="24">
        <f t="shared" si="37"/>
        <v>0</v>
      </c>
      <c r="Q35" s="24">
        <f t="shared" si="37"/>
        <v>0</v>
      </c>
      <c r="R35" s="24">
        <f t="shared" si="37"/>
        <v>0</v>
      </c>
    </row>
    <row r="36" spans="2:18" x14ac:dyDescent="0.3">
      <c r="B36" s="1" t="s">
        <v>146</v>
      </c>
      <c r="E36" s="73"/>
      <c r="F36" s="73"/>
      <c r="G36" s="73"/>
      <c r="H36" s="73"/>
      <c r="I36" s="73"/>
      <c r="J36" s="73"/>
      <c r="K36" s="73"/>
      <c r="L36" s="24">
        <f>K36</f>
        <v>0</v>
      </c>
      <c r="M36" s="24">
        <f>L36</f>
        <v>0</v>
      </c>
      <c r="N36" s="24">
        <f t="shared" ref="N36:R36" si="38">M36</f>
        <v>0</v>
      </c>
      <c r="O36" s="24">
        <f t="shared" si="38"/>
        <v>0</v>
      </c>
      <c r="P36" s="24">
        <f t="shared" si="38"/>
        <v>0</v>
      </c>
      <c r="Q36" s="24">
        <f t="shared" si="38"/>
        <v>0</v>
      </c>
      <c r="R36" s="24">
        <f t="shared" si="38"/>
        <v>0</v>
      </c>
    </row>
    <row r="37" spans="2:18" ht="15" thickBot="1" x14ac:dyDescent="0.35">
      <c r="B37" s="17" t="s">
        <v>36</v>
      </c>
      <c r="C37" s="17"/>
      <c r="D37" s="17"/>
      <c r="E37" s="74">
        <f t="shared" ref="E37:K37" si="39">SUM(E34:E36)</f>
        <v>46.756020999999997</v>
      </c>
      <c r="F37" s="74">
        <f t="shared" ref="F37" si="40">SUM(F34:F36)</f>
        <v>55.631999999999998</v>
      </c>
      <c r="G37" s="74">
        <f t="shared" si="39"/>
        <v>75.800999999999988</v>
      </c>
      <c r="H37" s="74">
        <f t="shared" ref="H37:I37" si="41">SUM(H34:H36)</f>
        <v>91.695999999999998</v>
      </c>
      <c r="I37" s="74">
        <f t="shared" si="41"/>
        <v>110.43799999999999</v>
      </c>
      <c r="J37" s="74">
        <f t="shared" si="39"/>
        <v>128.22399999999999</v>
      </c>
      <c r="K37" s="74">
        <f t="shared" si="39"/>
        <v>146.34700000000001</v>
      </c>
      <c r="L37" s="26">
        <f t="shared" ref="L37" si="42">SUM(L34:L36)</f>
        <v>166.42816763252685</v>
      </c>
      <c r="M37" s="26">
        <f t="shared" ref="M37:R37" si="43">SUM(M34:M36)</f>
        <v>186.6181598216524</v>
      </c>
      <c r="N37" s="26">
        <f t="shared" si="43"/>
        <v>206.90951124913695</v>
      </c>
      <c r="O37" s="26">
        <f t="shared" si="43"/>
        <v>227.47087168962159</v>
      </c>
      <c r="P37" s="26">
        <f t="shared" si="43"/>
        <v>248.38246708781918</v>
      </c>
      <c r="Q37" s="26">
        <f t="shared" si="43"/>
        <v>269.68490439951796</v>
      </c>
      <c r="R37" s="26">
        <f t="shared" si="43"/>
        <v>291.70583067171862</v>
      </c>
    </row>
    <row r="38" spans="2:18" ht="15" thickTop="1" x14ac:dyDescent="0.3">
      <c r="E38" s="60"/>
      <c r="F38" s="60"/>
      <c r="G38" s="61"/>
      <c r="H38" s="61"/>
      <c r="I38" s="61"/>
      <c r="J38" s="61"/>
      <c r="K38" s="61"/>
    </row>
    <row r="39" spans="2:18" x14ac:dyDescent="0.3">
      <c r="B39" s="21" t="s">
        <v>37</v>
      </c>
      <c r="E39" s="75">
        <f t="shared" ref="E39:Q39" si="44">ROUND(E29-E37,6)</f>
        <v>0</v>
      </c>
      <c r="F39" s="75">
        <f t="shared" ref="F39" si="45">ROUND(F29-F37,6)</f>
        <v>0</v>
      </c>
      <c r="G39" s="75">
        <f t="shared" si="44"/>
        <v>0</v>
      </c>
      <c r="H39" s="75">
        <f t="shared" ref="H39:I39" si="46">ROUND(H29-H37,6)</f>
        <v>0</v>
      </c>
      <c r="I39" s="75">
        <f t="shared" si="46"/>
        <v>0</v>
      </c>
      <c r="J39" s="75">
        <f t="shared" si="44"/>
        <v>0</v>
      </c>
      <c r="K39" s="75">
        <f t="shared" si="44"/>
        <v>0</v>
      </c>
      <c r="L39" s="23">
        <f t="shared" ref="L39" si="47">ROUND(L29-L37,6)</f>
        <v>0</v>
      </c>
      <c r="M39" s="23">
        <f t="shared" si="44"/>
        <v>0</v>
      </c>
      <c r="N39" s="23">
        <f t="shared" si="44"/>
        <v>0</v>
      </c>
      <c r="O39" s="23">
        <f t="shared" si="44"/>
        <v>0</v>
      </c>
      <c r="P39" s="23">
        <f t="shared" si="44"/>
        <v>0</v>
      </c>
      <c r="Q39" s="23">
        <f t="shared" si="44"/>
        <v>0</v>
      </c>
      <c r="R39" s="23">
        <f>ROUND(R29-R37,6)</f>
        <v>0</v>
      </c>
    </row>
    <row r="40" spans="2:18" x14ac:dyDescent="0.3">
      <c r="E40" s="60"/>
      <c r="F40" s="60"/>
      <c r="G40" s="61"/>
      <c r="H40" s="61"/>
      <c r="I40" s="61"/>
      <c r="J40" s="61"/>
      <c r="K40" s="61"/>
    </row>
    <row r="41" spans="2:18" x14ac:dyDescent="0.3">
      <c r="B41" s="2" t="s">
        <v>44</v>
      </c>
      <c r="C41" s="3"/>
      <c r="D41" s="5"/>
      <c r="E41" s="60"/>
      <c r="F41" s="60"/>
      <c r="G41" s="60"/>
      <c r="H41" s="60"/>
      <c r="I41" s="60"/>
      <c r="J41" s="60"/>
      <c r="K41" s="60"/>
      <c r="L41" s="4"/>
      <c r="M41" s="4"/>
      <c r="N41" s="4"/>
      <c r="O41" s="5"/>
      <c r="P41" s="5"/>
      <c r="Q41" s="5"/>
      <c r="R41" s="5"/>
    </row>
    <row r="42" spans="2:18" x14ac:dyDescent="0.3">
      <c r="E42" s="60"/>
      <c r="F42" s="60"/>
      <c r="G42" s="61"/>
      <c r="H42" s="61"/>
      <c r="I42" s="61"/>
      <c r="J42" s="61"/>
      <c r="K42" s="61"/>
    </row>
    <row r="43" spans="2:18" x14ac:dyDescent="0.3">
      <c r="B43" s="1" t="s">
        <v>46</v>
      </c>
      <c r="E43" s="73">
        <v>38.997504999999997</v>
      </c>
      <c r="F43" s="73">
        <v>45.302</v>
      </c>
      <c r="G43" s="73">
        <v>56.505000000000003</v>
      </c>
      <c r="H43" s="73">
        <v>78.510000000000005</v>
      </c>
      <c r="I43" s="73">
        <v>86.751999999999995</v>
      </c>
      <c r="J43" s="73">
        <v>118.23699999999999</v>
      </c>
      <c r="K43" s="73">
        <v>138.32900000000001</v>
      </c>
      <c r="L43" s="24">
        <f>K43*(1+summary!L24)^YEARFRAC(K6,L6)*L7/K7</f>
        <v>141.09558000000001</v>
      </c>
      <c r="M43" s="24">
        <f>L43*(1+summary!M24)^YEARFRAC(L6,M6)*M7/L7</f>
        <v>143.91749160000001</v>
      </c>
      <c r="N43" s="24">
        <f>M43*(1+summary!N24)^YEARFRAC(M6,N6)*N7/M7</f>
        <v>146.795841432</v>
      </c>
      <c r="O43" s="24">
        <f>N43*(1+summary!O24)^YEARFRAC(N6,O6)*O7/N7</f>
        <v>149.73175826063999</v>
      </c>
      <c r="P43" s="24">
        <f>O43*(1+summary!P24)^YEARFRAC(O6,P6)*P7/O7</f>
        <v>152.72639342585279</v>
      </c>
      <c r="Q43" s="24">
        <f>P43*(1+summary!Q24)^YEARFRAC(P6,Q6)*Q7/P7</f>
        <v>155.78092129436985</v>
      </c>
      <c r="R43" s="24">
        <f>Q43*(1+summary!R24)^YEARFRAC(Q6,R6)*R7/Q7</f>
        <v>158.89653972025724</v>
      </c>
    </row>
    <row r="44" spans="2:18" x14ac:dyDescent="0.3">
      <c r="B44" s="1" t="s">
        <v>47</v>
      </c>
      <c r="E44" s="73">
        <v>-8.5771850000000001</v>
      </c>
      <c r="F44" s="73">
        <v>-11.349</v>
      </c>
      <c r="G44" s="73">
        <v>-16.167999999999999</v>
      </c>
      <c r="H44" s="73">
        <v>-15.702999999999999</v>
      </c>
      <c r="I44" s="73">
        <v>-18.8</v>
      </c>
      <c r="J44" s="73">
        <v>-26.756</v>
      </c>
      <c r="K44" s="73">
        <v>-32.552999999999997</v>
      </c>
      <c r="L44" s="24">
        <f>-L43*(1-summary!L25)</f>
        <v>-33.204059999999991</v>
      </c>
      <c r="M44" s="24">
        <f>-M43*(1-summary!M25)</f>
        <v>-33.86814119999999</v>
      </c>
      <c r="N44" s="24">
        <f>-N43*(1-summary!N25)</f>
        <v>-34.545504023999989</v>
      </c>
      <c r="O44" s="24">
        <f>-O43*(1-summary!O25)</f>
        <v>-35.236414104479991</v>
      </c>
      <c r="P44" s="24">
        <f>-P43*(1-summary!P25)</f>
        <v>-35.941142386569588</v>
      </c>
      <c r="Q44" s="24">
        <f>-Q43*(1-summary!Q25)</f>
        <v>-36.659965234300977</v>
      </c>
      <c r="R44" s="24">
        <f>-R43*(1-summary!R25)</f>
        <v>-36.953005930869089</v>
      </c>
    </row>
    <row r="45" spans="2:18" ht="15" thickBot="1" x14ac:dyDescent="0.35">
      <c r="B45" s="17" t="s">
        <v>48</v>
      </c>
      <c r="C45" s="17"/>
      <c r="D45" s="17"/>
      <c r="E45" s="74">
        <f t="shared" ref="E45:O45" si="48">SUM(E43:E44)</f>
        <v>30.420319999999997</v>
      </c>
      <c r="F45" s="74">
        <f t="shared" ref="F45" si="49">SUM(F43:F44)</f>
        <v>33.953000000000003</v>
      </c>
      <c r="G45" s="74">
        <f t="shared" si="48"/>
        <v>40.337000000000003</v>
      </c>
      <c r="H45" s="74">
        <f t="shared" ref="H45:I45" si="50">SUM(H43:H44)</f>
        <v>62.807000000000002</v>
      </c>
      <c r="I45" s="74">
        <f t="shared" si="50"/>
        <v>67.951999999999998</v>
      </c>
      <c r="J45" s="74">
        <f t="shared" si="48"/>
        <v>91.480999999999995</v>
      </c>
      <c r="K45" s="74">
        <f t="shared" si="48"/>
        <v>105.77600000000001</v>
      </c>
      <c r="L45" s="26">
        <f t="shared" ref="L45" si="51">SUM(L43:L44)</f>
        <v>107.89152000000001</v>
      </c>
      <c r="M45" s="26">
        <f t="shared" si="48"/>
        <v>110.04935040000001</v>
      </c>
      <c r="N45" s="26">
        <f t="shared" si="48"/>
        <v>112.25033740800001</v>
      </c>
      <c r="O45" s="26">
        <f t="shared" si="48"/>
        <v>114.49534415616</v>
      </c>
      <c r="P45" s="26">
        <f t="shared" ref="P45" si="52">SUM(P43:P44)</f>
        <v>116.7852510392832</v>
      </c>
      <c r="Q45" s="26">
        <f t="shared" ref="Q45" si="53">SUM(Q43:Q44)</f>
        <v>119.12095606006886</v>
      </c>
      <c r="R45" s="26">
        <f t="shared" ref="R45" si="54">SUM(R43:R44)</f>
        <v>121.94353378938814</v>
      </c>
    </row>
    <row r="46" spans="2:18" ht="15" thickTop="1" x14ac:dyDescent="0.3">
      <c r="B46" s="1" t="s">
        <v>49</v>
      </c>
      <c r="E46" s="73"/>
      <c r="F46" s="73"/>
      <c r="G46" s="73"/>
      <c r="H46" s="73"/>
      <c r="I46" s="73"/>
      <c r="J46" s="73"/>
      <c r="K46" s="73"/>
      <c r="L46" s="24"/>
      <c r="M46" s="24"/>
      <c r="N46" s="24"/>
      <c r="O46" s="24"/>
      <c r="P46" s="24"/>
      <c r="Q46" s="24"/>
      <c r="R46" s="24"/>
    </row>
    <row r="47" spans="2:18" x14ac:dyDescent="0.3">
      <c r="B47" s="1" t="s">
        <v>60</v>
      </c>
      <c r="E47" s="73">
        <v>-16.480748999999999</v>
      </c>
      <c r="F47" s="73">
        <v>-18.119</v>
      </c>
      <c r="G47" s="73">
        <v>-21.978000000000002</v>
      </c>
      <c r="H47" s="73">
        <v>-31.632000000000001</v>
      </c>
      <c r="I47" s="73">
        <v>-43.238999999999997</v>
      </c>
      <c r="J47" s="73">
        <f>-55.112-0.378</f>
        <v>-55.49</v>
      </c>
      <c r="K47" s="73">
        <f>-64.982+0.175</f>
        <v>-64.807000000000002</v>
      </c>
      <c r="L47" s="24">
        <f>-L43*summary!L26</f>
        <v>-66.103139999999996</v>
      </c>
      <c r="M47" s="24">
        <f>-M43*summary!M26</f>
        <v>-67.425202799999994</v>
      </c>
      <c r="N47" s="24">
        <f>-N43*summary!N26</f>
        <v>-68.773706856000004</v>
      </c>
      <c r="O47" s="24">
        <f>-O43*summary!O26</f>
        <v>-70.149180993119998</v>
      </c>
      <c r="P47" s="24">
        <f>-P43*summary!P26</f>
        <v>-71.552164612982395</v>
      </c>
      <c r="Q47" s="24">
        <f>-Q43*summary!Q26</f>
        <v>-72.98320790524204</v>
      </c>
      <c r="R47" s="24">
        <f>-R43*summary!R26</f>
        <v>-74.442872063346883</v>
      </c>
    </row>
    <row r="48" spans="2:18" ht="15" thickBot="1" x14ac:dyDescent="0.35">
      <c r="B48" s="17" t="s">
        <v>50</v>
      </c>
      <c r="C48" s="17"/>
      <c r="D48" s="17"/>
      <c r="E48" s="74">
        <f t="shared" ref="E48:K48" si="55">SUM(E45:E47)</f>
        <v>13.939570999999997</v>
      </c>
      <c r="F48" s="74">
        <f t="shared" ref="F48" si="56">SUM(F45:F47)</f>
        <v>15.834000000000003</v>
      </c>
      <c r="G48" s="74">
        <f t="shared" si="55"/>
        <v>18.359000000000002</v>
      </c>
      <c r="H48" s="74">
        <f t="shared" ref="H48:I48" si="57">SUM(H45:H47)</f>
        <v>31.175000000000001</v>
      </c>
      <c r="I48" s="74">
        <f t="shared" si="57"/>
        <v>24.713000000000001</v>
      </c>
      <c r="J48" s="74">
        <f t="shared" si="55"/>
        <v>35.990999999999993</v>
      </c>
      <c r="K48" s="74">
        <f t="shared" si="55"/>
        <v>40.969000000000008</v>
      </c>
      <c r="L48" s="26">
        <f t="shared" ref="L48" si="58">SUM(L45:L47)</f>
        <v>41.788380000000018</v>
      </c>
      <c r="M48" s="26">
        <f t="shared" ref="M48:O48" si="59">SUM(M45:M47)</f>
        <v>42.624147600000015</v>
      </c>
      <c r="N48" s="26">
        <f t="shared" si="59"/>
        <v>43.476630552000003</v>
      </c>
      <c r="O48" s="26">
        <f t="shared" si="59"/>
        <v>44.346163163040003</v>
      </c>
      <c r="P48" s="26">
        <f t="shared" ref="P48" si="60">SUM(P45:P47)</f>
        <v>45.233086426300801</v>
      </c>
      <c r="Q48" s="26">
        <f t="shared" ref="Q48" si="61">SUM(Q45:Q47)</f>
        <v>46.137748154826824</v>
      </c>
      <c r="R48" s="26">
        <f t="shared" ref="R48" si="62">SUM(R45:R47)</f>
        <v>47.500661726041258</v>
      </c>
    </row>
    <row r="49" spans="2:18" ht="15" thickTop="1" x14ac:dyDescent="0.3">
      <c r="B49" s="1" t="s">
        <v>51</v>
      </c>
      <c r="E49" s="73">
        <v>-0.453094</v>
      </c>
      <c r="F49" s="73">
        <v>-0.76</v>
      </c>
      <c r="G49" s="73">
        <v>-1.5740000000000001</v>
      </c>
      <c r="H49" s="73">
        <v>-6.5819999999999999</v>
      </c>
      <c r="I49" s="73">
        <v>-6.6630000000000003</v>
      </c>
      <c r="J49" s="73">
        <f>-0.137-8.504</f>
        <v>-8.641</v>
      </c>
      <c r="K49" s="73">
        <f>-10.436-0.117</f>
        <v>-10.553000000000001</v>
      </c>
      <c r="L49" s="24">
        <f>-summary!L27*(K18)</f>
        <v>-8.1537144348734003</v>
      </c>
      <c r="M49" s="24">
        <f>-summary!M27*(L18)</f>
        <v>-9.2147581565534313</v>
      </c>
      <c r="N49" s="24">
        <f>-summary!N27*(M18)</f>
        <v>-9.8023074602491604</v>
      </c>
      <c r="O49" s="24">
        <f>-summary!O27*(N18)</f>
        <v>-10.179444296853628</v>
      </c>
      <c r="P49" s="24">
        <f>-summary!P27*(O18)</f>
        <v>-10.464356184253004</v>
      </c>
      <c r="Q49" s="24">
        <f>-summary!Q27*(P18)</f>
        <v>-10.710163300555068</v>
      </c>
      <c r="R49" s="24">
        <f>-summary!R27*(Q18)</f>
        <v>-10.940766721955963</v>
      </c>
    </row>
    <row r="50" spans="2:18" ht="15" thickBot="1" x14ac:dyDescent="0.35">
      <c r="B50" s="17" t="s">
        <v>52</v>
      </c>
      <c r="C50" s="17"/>
      <c r="D50" s="17"/>
      <c r="E50" s="74">
        <f t="shared" ref="E50:O50" si="63">SUM(E48:E49)</f>
        <v>13.486476999999997</v>
      </c>
      <c r="F50" s="74">
        <f t="shared" ref="F50" si="64">SUM(F48:F49)</f>
        <v>15.074000000000003</v>
      </c>
      <c r="G50" s="74">
        <f t="shared" si="63"/>
        <v>16.785</v>
      </c>
      <c r="H50" s="74">
        <f t="shared" ref="H50:I50" si="65">SUM(H48:H49)</f>
        <v>24.593</v>
      </c>
      <c r="I50" s="74">
        <f t="shared" si="65"/>
        <v>18.05</v>
      </c>
      <c r="J50" s="74">
        <f t="shared" si="63"/>
        <v>27.349999999999994</v>
      </c>
      <c r="K50" s="74">
        <f t="shared" si="63"/>
        <v>30.416000000000007</v>
      </c>
      <c r="L50" s="26">
        <f t="shared" ref="L50" si="66">SUM(L48:L49)</f>
        <v>33.634665565126618</v>
      </c>
      <c r="M50" s="26">
        <f t="shared" si="63"/>
        <v>33.409389443446585</v>
      </c>
      <c r="N50" s="26">
        <f t="shared" si="63"/>
        <v>33.674323091750843</v>
      </c>
      <c r="O50" s="26">
        <f t="shared" si="63"/>
        <v>34.166718866186372</v>
      </c>
      <c r="P50" s="26">
        <f t="shared" ref="P50" si="67">SUM(P48:P49)</f>
        <v>34.768730242047795</v>
      </c>
      <c r="Q50" s="26">
        <f t="shared" ref="Q50" si="68">SUM(Q48:Q49)</f>
        <v>35.427584854271757</v>
      </c>
      <c r="R50" s="26">
        <f t="shared" ref="R50" si="69">SUM(R48:R49)</f>
        <v>36.559895004085291</v>
      </c>
    </row>
    <row r="51" spans="2:18" ht="15" thickTop="1" x14ac:dyDescent="0.3">
      <c r="B51" s="1" t="s">
        <v>61</v>
      </c>
      <c r="E51" s="73">
        <v>0.13334099999999999</v>
      </c>
      <c r="F51" s="73">
        <v>-0.49199999999999999</v>
      </c>
      <c r="G51" s="73">
        <v>-1.0900000000000001</v>
      </c>
      <c r="H51" s="73">
        <v>-2.202</v>
      </c>
      <c r="I51" s="73">
        <v>-2.5619999999999998</v>
      </c>
      <c r="J51" s="73">
        <v>-3.6040000000000001</v>
      </c>
      <c r="K51" s="73">
        <v>-6.3230000000000004</v>
      </c>
      <c r="L51" s="24">
        <f>-AVERAGE(K25:L25)*summary!L28</f>
        <v>-6.8597753884241781</v>
      </c>
      <c r="M51" s="24">
        <f>-AVERAGE(L25:M25)*summary!M28</f>
        <v>-6.4893998579458696</v>
      </c>
      <c r="N51" s="24">
        <f>-AVERAGE(M25:N25)*summary!N28</f>
        <v>-6.6191878551047854</v>
      </c>
      <c r="O51" s="24">
        <f>-AVERAGE(N25:O25)*summary!O28</f>
        <v>-6.751571612206881</v>
      </c>
      <c r="P51" s="24">
        <f>-AVERAGE(O25:P25)*summary!P28</f>
        <v>-6.886603044451018</v>
      </c>
      <c r="Q51" s="24">
        <f>-AVERAGE(P25:Q25)*summary!Q28</f>
        <v>-7.0243351053400396</v>
      </c>
      <c r="R51" s="24">
        <f>-AVERAGE(Q25:R25)*summary!R28</f>
        <v>-7.1986599744844293</v>
      </c>
    </row>
    <row r="52" spans="2:18" x14ac:dyDescent="0.3">
      <c r="B52" s="1" t="s">
        <v>62</v>
      </c>
      <c r="E52" s="73">
        <v>4.8000000000000001E-4</v>
      </c>
      <c r="F52" s="73">
        <v>0</v>
      </c>
      <c r="G52" s="73">
        <v>-1.411</v>
      </c>
      <c r="H52" s="73">
        <v>0</v>
      </c>
      <c r="I52" s="73">
        <v>0</v>
      </c>
      <c r="J52" s="73">
        <v>0</v>
      </c>
      <c r="K52" s="73">
        <v>0</v>
      </c>
      <c r="L52" s="24">
        <f>L72</f>
        <v>0</v>
      </c>
      <c r="M52" s="24">
        <f>M72</f>
        <v>0</v>
      </c>
      <c r="N52" s="24">
        <f t="shared" ref="N52:R52" si="70">N72</f>
        <v>0</v>
      </c>
      <c r="O52" s="24">
        <f t="shared" si="70"/>
        <v>0</v>
      </c>
      <c r="P52" s="24">
        <f t="shared" si="70"/>
        <v>0</v>
      </c>
      <c r="Q52" s="24">
        <f t="shared" si="70"/>
        <v>0</v>
      </c>
      <c r="R52" s="24">
        <f t="shared" si="70"/>
        <v>0</v>
      </c>
    </row>
    <row r="53" spans="2:18" ht="15" thickBot="1" x14ac:dyDescent="0.35">
      <c r="B53" s="17" t="s">
        <v>53</v>
      </c>
      <c r="C53" s="17"/>
      <c r="D53" s="17"/>
      <c r="E53" s="74">
        <f t="shared" ref="E53:O53" si="71">SUM(E50:E52)</f>
        <v>13.620297999999996</v>
      </c>
      <c r="F53" s="74">
        <f t="shared" ref="F53" si="72">SUM(F50:F52)</f>
        <v>14.582000000000004</v>
      </c>
      <c r="G53" s="74">
        <f>SUM(G50:G52)</f>
        <v>14.284000000000001</v>
      </c>
      <c r="H53" s="74">
        <f t="shared" ref="H53:I53" si="73">SUM(H50:H52)</f>
        <v>22.390999999999998</v>
      </c>
      <c r="I53" s="74">
        <f t="shared" si="73"/>
        <v>15.488000000000001</v>
      </c>
      <c r="J53" s="74">
        <f t="shared" si="71"/>
        <v>23.745999999999995</v>
      </c>
      <c r="K53" s="74">
        <f t="shared" si="71"/>
        <v>24.093000000000007</v>
      </c>
      <c r="L53" s="26">
        <f>SUM(L50:L52)</f>
        <v>26.774890176702439</v>
      </c>
      <c r="M53" s="26">
        <f t="shared" si="71"/>
        <v>26.919989585500716</v>
      </c>
      <c r="N53" s="26">
        <f t="shared" si="71"/>
        <v>27.055135236646059</v>
      </c>
      <c r="O53" s="26">
        <f t="shared" si="71"/>
        <v>27.415147253979491</v>
      </c>
      <c r="P53" s="26">
        <f t="shared" ref="P53" si="74">SUM(P50:P52)</f>
        <v>27.882127197596777</v>
      </c>
      <c r="Q53" s="26">
        <f t="shared" ref="Q53" si="75">SUM(Q50:Q52)</f>
        <v>28.403249748931717</v>
      </c>
      <c r="R53" s="26">
        <f t="shared" ref="R53" si="76">SUM(R50:R52)</f>
        <v>29.361235029600863</v>
      </c>
    </row>
    <row r="54" spans="2:18" ht="15" thickTop="1" x14ac:dyDescent="0.3">
      <c r="B54" s="1" t="s">
        <v>54</v>
      </c>
      <c r="E54" s="73">
        <v>-2.4121450000000002</v>
      </c>
      <c r="F54" s="73">
        <v>-2.0950000000000002</v>
      </c>
      <c r="G54" s="73">
        <v>-2.879</v>
      </c>
      <c r="H54" s="73">
        <v>-4.4029999999999996</v>
      </c>
      <c r="I54" s="73">
        <v>-3.173</v>
      </c>
      <c r="J54" s="73">
        <v>-4.5979999999999999</v>
      </c>
      <c r="K54" s="73">
        <f>-4.616</f>
        <v>-4.6159999999999997</v>
      </c>
      <c r="L54" s="24">
        <f>L53*-summary!L29</f>
        <v>-6.6937225441756096</v>
      </c>
      <c r="M54" s="24">
        <f>M53*-summary!M29</f>
        <v>-6.7299973963751789</v>
      </c>
      <c r="N54" s="24">
        <f>N53*-summary!N29</f>
        <v>-6.7637838091615148</v>
      </c>
      <c r="O54" s="24">
        <f>O53*-summary!O29</f>
        <v>-6.8537868134948727</v>
      </c>
      <c r="P54" s="24">
        <f>P53*-summary!P29</f>
        <v>-6.9705317993991942</v>
      </c>
      <c r="Q54" s="24">
        <f>Q53*-summary!Q29</f>
        <v>-7.1008124372329293</v>
      </c>
      <c r="R54" s="24">
        <f>R53*-summary!R29</f>
        <v>-7.3403087574002157</v>
      </c>
    </row>
    <row r="55" spans="2:18" ht="15" thickBot="1" x14ac:dyDescent="0.35">
      <c r="B55" s="17" t="s">
        <v>55</v>
      </c>
      <c r="C55" s="17"/>
      <c r="D55" s="17"/>
      <c r="E55" s="74">
        <f t="shared" ref="E55:O55" si="77">SUM(E53:E54)</f>
        <v>11.208152999999996</v>
      </c>
      <c r="F55" s="74">
        <f t="shared" ref="F55" si="78">SUM(F53:F54)</f>
        <v>12.487000000000004</v>
      </c>
      <c r="G55" s="74">
        <f t="shared" si="77"/>
        <v>11.405000000000001</v>
      </c>
      <c r="H55" s="74">
        <f t="shared" ref="H55" si="79">SUM(H53:H54)</f>
        <v>17.988</v>
      </c>
      <c r="I55" s="74">
        <f>SUM(I53:I54)</f>
        <v>12.315000000000001</v>
      </c>
      <c r="J55" s="74">
        <f t="shared" si="77"/>
        <v>19.147999999999996</v>
      </c>
      <c r="K55" s="74">
        <f t="shared" si="77"/>
        <v>19.477000000000007</v>
      </c>
      <c r="L55" s="26">
        <f t="shared" ref="L55" si="80">SUM(L53:L54)</f>
        <v>20.081167632526828</v>
      </c>
      <c r="M55" s="26">
        <f t="shared" si="77"/>
        <v>20.189992189125537</v>
      </c>
      <c r="N55" s="26">
        <f t="shared" si="77"/>
        <v>20.291351427484543</v>
      </c>
      <c r="O55" s="26">
        <f t="shared" si="77"/>
        <v>20.56136044048462</v>
      </c>
      <c r="P55" s="26">
        <f t="shared" ref="P55:R55" si="81">SUM(P53:P54)</f>
        <v>20.911595398197584</v>
      </c>
      <c r="Q55" s="26">
        <f t="shared" si="81"/>
        <v>21.302437311698789</v>
      </c>
      <c r="R55" s="26">
        <f t="shared" si="81"/>
        <v>22.020926272200647</v>
      </c>
    </row>
    <row r="56" spans="2:18" ht="15" thickTop="1" x14ac:dyDescent="0.3">
      <c r="E56" s="73"/>
      <c r="F56" s="73"/>
      <c r="G56" s="73"/>
      <c r="H56" s="73"/>
      <c r="I56" s="73"/>
      <c r="J56" s="73"/>
      <c r="K56" s="73"/>
      <c r="L56" s="24"/>
      <c r="M56" s="24"/>
      <c r="N56" s="24"/>
      <c r="O56" s="24"/>
      <c r="P56" s="24"/>
      <c r="Q56" s="24"/>
      <c r="R56" s="24"/>
    </row>
    <row r="57" spans="2:18" x14ac:dyDescent="0.3">
      <c r="B57" s="1" t="s">
        <v>58</v>
      </c>
      <c r="E57" s="73"/>
      <c r="F57" s="73"/>
      <c r="G57" s="73"/>
      <c r="H57" s="73"/>
      <c r="I57" s="73"/>
      <c r="J57" s="73">
        <f>J55</f>
        <v>19.147999999999996</v>
      </c>
      <c r="K57" s="73">
        <f>K55</f>
        <v>19.477000000000007</v>
      </c>
      <c r="L57" s="24">
        <f>L55-L58</f>
        <v>20.081167632526828</v>
      </c>
      <c r="M57" s="24">
        <f>M55-M58</f>
        <v>20.189992189125537</v>
      </c>
      <c r="N57" s="24">
        <f t="shared" ref="N57:R57" si="82">N55-N58</f>
        <v>20.291351427484543</v>
      </c>
      <c r="O57" s="24">
        <f t="shared" si="82"/>
        <v>20.56136044048462</v>
      </c>
      <c r="P57" s="24">
        <f t="shared" si="82"/>
        <v>20.911595398197584</v>
      </c>
      <c r="Q57" s="24">
        <f t="shared" si="82"/>
        <v>21.302437311698789</v>
      </c>
      <c r="R57" s="24">
        <f t="shared" si="82"/>
        <v>22.020926272200647</v>
      </c>
    </row>
    <row r="58" spans="2:18" x14ac:dyDescent="0.3">
      <c r="B58" s="1" t="s">
        <v>59</v>
      </c>
      <c r="E58" s="73"/>
      <c r="F58" s="73"/>
      <c r="G58" s="73"/>
      <c r="H58" s="73"/>
      <c r="I58" s="73"/>
      <c r="J58" s="73">
        <v>0</v>
      </c>
      <c r="K58" s="73">
        <v>0</v>
      </c>
      <c r="L58" s="24">
        <f>L55*summary!L35</f>
        <v>0</v>
      </c>
      <c r="M58" s="24">
        <f>M55*summary!M35</f>
        <v>0</v>
      </c>
      <c r="N58" s="24">
        <f>N55*summary!N35</f>
        <v>0</v>
      </c>
      <c r="O58" s="24">
        <f>O55*summary!O35</f>
        <v>0</v>
      </c>
      <c r="P58" s="24">
        <f>P55*summary!P35</f>
        <v>0</v>
      </c>
      <c r="Q58" s="24">
        <f>Q55*summary!Q35</f>
        <v>0</v>
      </c>
      <c r="R58" s="24">
        <f>R55*summary!R35</f>
        <v>0</v>
      </c>
    </row>
    <row r="59" spans="2:18" x14ac:dyDescent="0.3">
      <c r="E59" s="73"/>
      <c r="F59" s="73"/>
      <c r="G59" s="73"/>
      <c r="H59" s="73"/>
      <c r="I59" s="73"/>
      <c r="J59" s="73"/>
      <c r="K59" s="73"/>
      <c r="L59" s="24"/>
      <c r="M59" s="24"/>
      <c r="N59" s="24"/>
      <c r="O59" s="24"/>
      <c r="P59" s="24"/>
      <c r="Q59" s="24"/>
      <c r="R59" s="24"/>
    </row>
    <row r="60" spans="2:18" x14ac:dyDescent="0.3">
      <c r="B60" s="1" t="s">
        <v>63</v>
      </c>
      <c r="E60" s="76"/>
      <c r="F60" s="76">
        <v>11.4</v>
      </c>
      <c r="G60" s="76">
        <v>10.4</v>
      </c>
      <c r="H60" s="76">
        <v>16.399999999999999</v>
      </c>
      <c r="I60" s="76">
        <v>10.8</v>
      </c>
      <c r="J60" s="76">
        <v>16.5</v>
      </c>
      <c r="K60" s="76">
        <v>16.600000000000001</v>
      </c>
      <c r="L60" s="30">
        <f>L57/summary!$D$13*10^8</f>
        <v>17.017938671632905</v>
      </c>
      <c r="M60" s="30">
        <f>M57/summary!$D$13*10^8</f>
        <v>17.110162872140286</v>
      </c>
      <c r="N60" s="30">
        <f>N57/summary!$D$13*10^8</f>
        <v>17.196060531766562</v>
      </c>
      <c r="O60" s="30">
        <f>O57/summary!$D$13*10^8</f>
        <v>17.424881729224253</v>
      </c>
      <c r="P60" s="30">
        <f>P57/summary!$D$13*10^8</f>
        <v>17.72169101542168</v>
      </c>
      <c r="Q60" s="30">
        <f>Q57/summary!$D$13*10^8</f>
        <v>18.052912976015921</v>
      </c>
      <c r="R60" s="30">
        <f>R57/summary!$D$13*10^8</f>
        <v>18.661801925593767</v>
      </c>
    </row>
    <row r="61" spans="2:18" x14ac:dyDescent="0.3">
      <c r="B61" s="1" t="s">
        <v>64</v>
      </c>
      <c r="E61" s="76"/>
      <c r="F61" s="76">
        <v>11.1</v>
      </c>
      <c r="G61" s="76">
        <v>10.199999999999999</v>
      </c>
      <c r="H61" s="76">
        <v>16</v>
      </c>
      <c r="I61" s="76">
        <v>10.6</v>
      </c>
      <c r="J61" s="76">
        <v>16.2</v>
      </c>
      <c r="K61" s="76">
        <v>16.600000000000001</v>
      </c>
      <c r="L61" s="30">
        <f>L60</f>
        <v>17.017938671632905</v>
      </c>
      <c r="M61" s="30">
        <f t="shared" ref="M61:R61" si="83">M60</f>
        <v>17.110162872140286</v>
      </c>
      <c r="N61" s="30">
        <f t="shared" si="83"/>
        <v>17.196060531766562</v>
      </c>
      <c r="O61" s="30">
        <f t="shared" si="83"/>
        <v>17.424881729224253</v>
      </c>
      <c r="P61" s="30">
        <f t="shared" si="83"/>
        <v>17.72169101542168</v>
      </c>
      <c r="Q61" s="30">
        <f t="shared" si="83"/>
        <v>18.052912976015921</v>
      </c>
      <c r="R61" s="30">
        <f t="shared" si="83"/>
        <v>18.661801925593767</v>
      </c>
    </row>
    <row r="62" spans="2:18" x14ac:dyDescent="0.3">
      <c r="E62" s="60"/>
      <c r="F62" s="60"/>
      <c r="G62" s="61"/>
      <c r="H62" s="61"/>
      <c r="I62" s="61"/>
      <c r="J62" s="61"/>
      <c r="K62" s="61"/>
    </row>
    <row r="63" spans="2:18" x14ac:dyDescent="0.3">
      <c r="B63" s="21" t="s">
        <v>56</v>
      </c>
      <c r="E63" s="29">
        <v>11.208152999999996</v>
      </c>
      <c r="F63" s="29">
        <v>12.487</v>
      </c>
      <c r="G63" s="29">
        <v>11.405000000000001</v>
      </c>
      <c r="H63" s="29">
        <v>17.988000000000007</v>
      </c>
      <c r="I63" s="29">
        <v>12.314999999999998</v>
      </c>
      <c r="J63" s="29">
        <v>19.148</v>
      </c>
      <c r="K63" s="29">
        <v>19.477</v>
      </c>
      <c r="L63" s="29">
        <f>L55</f>
        <v>20.081167632526828</v>
      </c>
      <c r="M63" s="29">
        <f>M55</f>
        <v>20.189992189125537</v>
      </c>
      <c r="N63" s="29">
        <f t="shared" ref="N63:R63" si="84">N55</f>
        <v>20.291351427484543</v>
      </c>
      <c r="O63" s="29">
        <f t="shared" si="84"/>
        <v>20.56136044048462</v>
      </c>
      <c r="P63" s="29">
        <f t="shared" si="84"/>
        <v>20.911595398197584</v>
      </c>
      <c r="Q63" s="29">
        <f t="shared" si="84"/>
        <v>21.302437311698789</v>
      </c>
      <c r="R63" s="29">
        <f t="shared" si="84"/>
        <v>22.020926272200647</v>
      </c>
    </row>
    <row r="64" spans="2:18" x14ac:dyDescent="0.3">
      <c r="B64" s="21" t="s">
        <v>37</v>
      </c>
      <c r="E64" s="77">
        <f>ROUND(E63-E55,6)</f>
        <v>0</v>
      </c>
      <c r="F64" s="77">
        <f t="shared" ref="F64:I64" si="85">ROUND(F63-F55,6)</f>
        <v>0</v>
      </c>
      <c r="G64" s="77">
        <f t="shared" si="85"/>
        <v>0</v>
      </c>
      <c r="H64" s="77">
        <f t="shared" si="85"/>
        <v>0</v>
      </c>
      <c r="I64" s="77">
        <f t="shared" si="85"/>
        <v>0</v>
      </c>
      <c r="J64" s="77">
        <f t="shared" ref="J64:Q64" si="86">ROUND(J63-J55+(J55-J57-J58),6)</f>
        <v>0</v>
      </c>
      <c r="K64" s="77">
        <f t="shared" si="86"/>
        <v>0</v>
      </c>
      <c r="L64" s="32">
        <f t="shared" ref="L64" si="87">ROUND(L63-L55+(L55-L57-L58),6)</f>
        <v>0</v>
      </c>
      <c r="M64" s="32">
        <f t="shared" si="86"/>
        <v>0</v>
      </c>
      <c r="N64" s="32">
        <f t="shared" si="86"/>
        <v>0</v>
      </c>
      <c r="O64" s="32">
        <f t="shared" si="86"/>
        <v>0</v>
      </c>
      <c r="P64" s="32">
        <f t="shared" si="86"/>
        <v>0</v>
      </c>
      <c r="Q64" s="32">
        <f t="shared" si="86"/>
        <v>0</v>
      </c>
      <c r="R64" s="32">
        <f>ROUND(R63-R55+(R55-R57-R58),6)</f>
        <v>0</v>
      </c>
    </row>
    <row r="65" spans="2:18" x14ac:dyDescent="0.3">
      <c r="E65" s="60"/>
      <c r="F65" s="60"/>
      <c r="G65" s="61"/>
      <c r="H65" s="61"/>
      <c r="I65" s="61"/>
      <c r="J65" s="61"/>
      <c r="K65" s="61"/>
    </row>
    <row r="66" spans="2:18" x14ac:dyDescent="0.3">
      <c r="B66" s="2" t="s">
        <v>65</v>
      </c>
      <c r="C66" s="3"/>
      <c r="D66" s="5"/>
      <c r="E66" s="60"/>
      <c r="F66" s="60"/>
      <c r="G66" s="60"/>
      <c r="H66" s="60"/>
      <c r="I66" s="60"/>
      <c r="J66" s="60"/>
      <c r="K66" s="60"/>
      <c r="L66" s="4"/>
      <c r="M66" s="4"/>
      <c r="N66" s="4"/>
      <c r="O66" s="5"/>
      <c r="P66" s="5"/>
      <c r="Q66" s="5"/>
      <c r="R66" s="5"/>
    </row>
    <row r="67" spans="2:18" x14ac:dyDescent="0.3">
      <c r="D67" s="24"/>
      <c r="E67" s="60"/>
      <c r="F67" s="60"/>
      <c r="G67" s="61"/>
      <c r="H67" s="61"/>
      <c r="I67" s="61"/>
      <c r="J67" s="61"/>
      <c r="K67" s="61"/>
    </row>
    <row r="68" spans="2:18" x14ac:dyDescent="0.3">
      <c r="B68" s="1" t="s">
        <v>74</v>
      </c>
      <c r="E68" s="73">
        <f>E50</f>
        <v>13.486476999999997</v>
      </c>
      <c r="F68" s="73">
        <f>F50</f>
        <v>15.074000000000003</v>
      </c>
      <c r="G68" s="73">
        <f t="shared" ref="G68:O68" si="88">G50</f>
        <v>16.785</v>
      </c>
      <c r="H68" s="73">
        <f t="shared" ref="H68:I68" si="89">H50</f>
        <v>24.593</v>
      </c>
      <c r="I68" s="73">
        <f t="shared" si="89"/>
        <v>18.05</v>
      </c>
      <c r="J68" s="73">
        <f t="shared" si="88"/>
        <v>27.349999999999994</v>
      </c>
      <c r="K68" s="73">
        <f t="shared" si="88"/>
        <v>30.416000000000007</v>
      </c>
      <c r="L68" s="24">
        <f>L50</f>
        <v>33.634665565126618</v>
      </c>
      <c r="M68" s="24">
        <f>M50</f>
        <v>33.409389443446585</v>
      </c>
      <c r="N68" s="24">
        <f t="shared" si="88"/>
        <v>33.674323091750843</v>
      </c>
      <c r="O68" s="24">
        <f t="shared" si="88"/>
        <v>34.166718866186372</v>
      </c>
      <c r="P68" s="24">
        <f t="shared" ref="P68:R68" si="90">P50</f>
        <v>34.768730242047795</v>
      </c>
      <c r="Q68" s="24">
        <f t="shared" si="90"/>
        <v>35.427584854271757</v>
      </c>
      <c r="R68" s="24">
        <f t="shared" si="90"/>
        <v>36.559895004085291</v>
      </c>
    </row>
    <row r="69" spans="2:18" x14ac:dyDescent="0.3">
      <c r="B69" s="1" t="s">
        <v>75</v>
      </c>
      <c r="E69" s="73">
        <v>-57.018236999999999</v>
      </c>
      <c r="F69" s="73">
        <v>-11.967763</v>
      </c>
      <c r="G69" s="73">
        <v>-20.207999999999998</v>
      </c>
      <c r="H69" s="73">
        <v>-26.114999999999998</v>
      </c>
      <c r="I69" s="73">
        <v>-19.404</v>
      </c>
      <c r="J69" s="73">
        <f>-40.224+3.131</f>
        <v>-37.092999999999996</v>
      </c>
      <c r="K69" s="73">
        <f>-34.138+0.59</f>
        <v>-33.547999999999995</v>
      </c>
      <c r="L69" s="24">
        <f t="shared" ref="L69:R69" si="91">K13-L13+K14-L14+L22-K22</f>
        <v>-7.2303330511479587</v>
      </c>
      <c r="M69" s="24">
        <f t="shared" si="91"/>
        <v>-4.224306661022954</v>
      </c>
      <c r="N69" s="24">
        <f t="shared" si="91"/>
        <v>-4.3087927942434234</v>
      </c>
      <c r="O69" s="24">
        <f t="shared" si="91"/>
        <v>-4.3949686501282486</v>
      </c>
      <c r="P69" s="24">
        <f t="shared" si="91"/>
        <v>-4.4828680231309015</v>
      </c>
      <c r="Q69" s="24">
        <f t="shared" si="91"/>
        <v>-4.5725253835934545</v>
      </c>
      <c r="R69" s="24">
        <f t="shared" si="91"/>
        <v>-4.9112397522505553</v>
      </c>
    </row>
    <row r="70" spans="2:18" x14ac:dyDescent="0.3">
      <c r="B70" s="1" t="s">
        <v>76</v>
      </c>
      <c r="E70" s="73">
        <f t="shared" ref="E70:O70" si="92">-E49</f>
        <v>0.453094</v>
      </c>
      <c r="F70" s="73">
        <f t="shared" ref="F70" si="93">-F49</f>
        <v>0.76</v>
      </c>
      <c r="G70" s="73">
        <f t="shared" si="92"/>
        <v>1.5740000000000001</v>
      </c>
      <c r="H70" s="73">
        <f t="shared" ref="H70:I70" si="94">-H49</f>
        <v>6.5819999999999999</v>
      </c>
      <c r="I70" s="73">
        <f t="shared" si="94"/>
        <v>6.6630000000000003</v>
      </c>
      <c r="J70" s="73">
        <f t="shared" ref="J70:L70" si="95">-J49</f>
        <v>8.641</v>
      </c>
      <c r="K70" s="73">
        <f t="shared" si="95"/>
        <v>10.553000000000001</v>
      </c>
      <c r="L70" s="24">
        <f t="shared" si="95"/>
        <v>8.1537144348734003</v>
      </c>
      <c r="M70" s="24">
        <f t="shared" si="92"/>
        <v>9.2147581565534313</v>
      </c>
      <c r="N70" s="24">
        <f t="shared" si="92"/>
        <v>9.8023074602491604</v>
      </c>
      <c r="O70" s="24">
        <f t="shared" si="92"/>
        <v>10.179444296853628</v>
      </c>
      <c r="P70" s="24">
        <f t="shared" ref="P70:R70" si="96">-P49</f>
        <v>10.464356184253004</v>
      </c>
      <c r="Q70" s="24">
        <f t="shared" si="96"/>
        <v>10.710163300555068</v>
      </c>
      <c r="R70" s="24">
        <f t="shared" si="96"/>
        <v>10.940766721955963</v>
      </c>
    </row>
    <row r="71" spans="2:18" x14ac:dyDescent="0.3">
      <c r="B71" s="1" t="s">
        <v>77</v>
      </c>
      <c r="E71" s="73">
        <f>E54</f>
        <v>-2.4121450000000002</v>
      </c>
      <c r="F71" s="73">
        <f t="shared" ref="F71:I71" si="97">F54</f>
        <v>-2.0950000000000002</v>
      </c>
      <c r="G71" s="73">
        <f t="shared" si="97"/>
        <v>-2.879</v>
      </c>
      <c r="H71" s="73">
        <f t="shared" si="97"/>
        <v>-4.4029999999999996</v>
      </c>
      <c r="I71" s="73">
        <f t="shared" si="97"/>
        <v>-3.173</v>
      </c>
      <c r="J71" s="73">
        <f t="shared" ref="J71:K71" si="98">J54</f>
        <v>-4.5979999999999999</v>
      </c>
      <c r="K71" s="73">
        <f t="shared" si="98"/>
        <v>-4.6159999999999997</v>
      </c>
      <c r="L71" s="24">
        <f>L54</f>
        <v>-6.6937225441756096</v>
      </c>
      <c r="M71" s="24">
        <f>M54</f>
        <v>-6.7299973963751789</v>
      </c>
      <c r="N71" s="24">
        <f t="shared" ref="N71:R71" si="99">N54</f>
        <v>-6.7637838091615148</v>
      </c>
      <c r="O71" s="24">
        <f t="shared" si="99"/>
        <v>-6.8537868134948727</v>
      </c>
      <c r="P71" s="24">
        <f t="shared" si="99"/>
        <v>-6.9705317993991942</v>
      </c>
      <c r="Q71" s="24">
        <f t="shared" si="99"/>
        <v>-7.1008124372329293</v>
      </c>
      <c r="R71" s="24">
        <f t="shared" si="99"/>
        <v>-7.3403087574002157</v>
      </c>
    </row>
    <row r="72" spans="2:18" x14ac:dyDescent="0.3">
      <c r="B72" s="1" t="s">
        <v>147</v>
      </c>
      <c r="E72" s="73"/>
      <c r="F72" s="73"/>
      <c r="G72" s="73"/>
      <c r="H72" s="73"/>
      <c r="I72" s="73"/>
      <c r="J72" s="73"/>
      <c r="K72" s="73"/>
      <c r="L72" s="24">
        <f>J72*1.02</f>
        <v>0</v>
      </c>
      <c r="M72" s="24">
        <f>K72*1.02</f>
        <v>0</v>
      </c>
      <c r="N72" s="24">
        <f>M72*1.02</f>
        <v>0</v>
      </c>
      <c r="O72" s="24">
        <f>N72*1.02</f>
        <v>0</v>
      </c>
      <c r="P72" s="24">
        <f>O72*1.02</f>
        <v>0</v>
      </c>
      <c r="Q72" s="24">
        <f>P72*1.02</f>
        <v>0</v>
      </c>
      <c r="R72" s="24">
        <f>Q72*1.02</f>
        <v>0</v>
      </c>
    </row>
    <row r="73" spans="2:18" x14ac:dyDescent="0.3">
      <c r="B73" s="1" t="s">
        <v>73</v>
      </c>
      <c r="E73" s="73">
        <v>45.179222000000003</v>
      </c>
      <c r="F73" s="73">
        <v>-0.13123699999999516</v>
      </c>
      <c r="G73" s="73">
        <v>-0.69400000000001683</v>
      </c>
      <c r="H73" s="73">
        <v>0.75</v>
      </c>
      <c r="I73" s="73">
        <v>0.63099999999999667</v>
      </c>
      <c r="J73" s="73">
        <f>-7.307-SUM(J68:J72)+3.364</f>
        <v>1.7570000000000014</v>
      </c>
      <c r="K73" s="73">
        <f>-3.132+5.722-SUM(K68:K72)</f>
        <v>-0.21500000000001362</v>
      </c>
      <c r="L73" s="24"/>
      <c r="M73" s="24"/>
      <c r="N73" s="24"/>
      <c r="O73" s="24"/>
      <c r="P73" s="24"/>
      <c r="Q73" s="24"/>
      <c r="R73" s="24"/>
    </row>
    <row r="74" spans="2:18" ht="15" thickBot="1" x14ac:dyDescent="0.35">
      <c r="B74" s="17" t="s">
        <v>66</v>
      </c>
      <c r="C74" s="17"/>
      <c r="D74" s="17"/>
      <c r="E74" s="74">
        <f t="shared" ref="E74:O74" si="100">SUM(E68:E73)</f>
        <v>-0.311589000000005</v>
      </c>
      <c r="F74" s="74">
        <f t="shared" ref="F74" si="101">SUM(F68:F73)</f>
        <v>1.6400000000000081</v>
      </c>
      <c r="G74" s="74">
        <f t="shared" si="100"/>
        <v>-5.4220000000000148</v>
      </c>
      <c r="H74" s="74">
        <f t="shared" ref="H74:I74" si="102">SUM(H68:H73)</f>
        <v>1.4070000000000018</v>
      </c>
      <c r="I74" s="74">
        <f t="shared" si="102"/>
        <v>2.7669999999999977</v>
      </c>
      <c r="J74" s="74">
        <f t="shared" si="100"/>
        <v>-3.9430000000000005</v>
      </c>
      <c r="K74" s="74">
        <f t="shared" si="100"/>
        <v>2.5900000000000003</v>
      </c>
      <c r="L74" s="26">
        <f t="shared" ref="L74" si="103">SUM(L68:L73)</f>
        <v>27.864324404676449</v>
      </c>
      <c r="M74" s="26">
        <f t="shared" si="100"/>
        <v>31.669843542601885</v>
      </c>
      <c r="N74" s="26">
        <f t="shared" si="100"/>
        <v>32.404053948595063</v>
      </c>
      <c r="O74" s="26">
        <f t="shared" si="100"/>
        <v>33.097407699416884</v>
      </c>
      <c r="P74" s="26">
        <f t="shared" ref="P74:R74" si="104">SUM(P68:P73)</f>
        <v>33.779686603770699</v>
      </c>
      <c r="Q74" s="26">
        <f t="shared" si="104"/>
        <v>34.464410334000441</v>
      </c>
      <c r="R74" s="26">
        <f t="shared" si="104"/>
        <v>35.249113216390484</v>
      </c>
    </row>
    <row r="75" spans="2:18" ht="15" thickTop="1" x14ac:dyDescent="0.3">
      <c r="B75" s="1" t="s">
        <v>78</v>
      </c>
      <c r="E75" s="73"/>
      <c r="F75" s="73"/>
      <c r="G75" s="73"/>
      <c r="H75" s="73"/>
      <c r="I75" s="73"/>
      <c r="J75" s="73"/>
      <c r="K75" s="73"/>
      <c r="L75" s="24"/>
      <c r="M75" s="24"/>
      <c r="N75" s="24"/>
      <c r="O75" s="24"/>
      <c r="P75" s="24"/>
      <c r="Q75" s="24"/>
      <c r="R75" s="24"/>
    </row>
    <row r="76" spans="2:18" x14ac:dyDescent="0.3">
      <c r="B76" s="1" t="s">
        <v>79</v>
      </c>
      <c r="E76" s="73"/>
      <c r="F76" s="73"/>
      <c r="G76" s="73"/>
      <c r="H76" s="73"/>
      <c r="I76" s="73"/>
      <c r="J76" s="73"/>
      <c r="K76" s="73"/>
      <c r="L76" s="24"/>
      <c r="M76" s="24"/>
      <c r="N76" s="24"/>
      <c r="O76" s="24"/>
      <c r="P76" s="24"/>
      <c r="Q76" s="24"/>
      <c r="R76" s="24"/>
    </row>
    <row r="77" spans="2:18" x14ac:dyDescent="0.3">
      <c r="B77" s="1" t="s">
        <v>193</v>
      </c>
      <c r="E77" s="73">
        <v>-0.64147600000000005</v>
      </c>
      <c r="F77" s="73">
        <v>-1.29</v>
      </c>
      <c r="G77" s="73">
        <v>-3.323</v>
      </c>
      <c r="H77" s="73">
        <f>-0.638-6.514</f>
        <v>-7.1520000000000001</v>
      </c>
      <c r="I77" s="73">
        <f>--0.895-7.568</f>
        <v>-6.673</v>
      </c>
      <c r="J77" s="73">
        <f>-0.589-8.11</f>
        <v>-8.6989999999999998</v>
      </c>
      <c r="K77" s="73">
        <f>0.393-10.275</f>
        <v>-9.8819999999999997</v>
      </c>
      <c r="L77" s="24">
        <f>-summary!L36</f>
        <v>-10.079639999999999</v>
      </c>
      <c r="M77" s="24">
        <f>-summary!M36</f>
        <v>-10.2812328</v>
      </c>
      <c r="N77" s="24">
        <f>-summary!N36</f>
        <v>-10.486857455999999</v>
      </c>
      <c r="O77" s="24">
        <f>-summary!O36</f>
        <v>-10.69659460512</v>
      </c>
      <c r="P77" s="24">
        <f>-summary!P36</f>
        <v>-10.910526497222399</v>
      </c>
      <c r="Q77" s="24">
        <f>-summary!Q36</f>
        <v>-11.128737027166848</v>
      </c>
      <c r="R77" s="24">
        <f>-summary!R36</f>
        <v>-11.351311767710184</v>
      </c>
    </row>
    <row r="78" spans="2:18" x14ac:dyDescent="0.3">
      <c r="B78" s="1" t="s">
        <v>80</v>
      </c>
      <c r="E78" s="73"/>
      <c r="F78" s="73"/>
      <c r="G78" s="73"/>
      <c r="H78" s="73"/>
      <c r="I78" s="73"/>
      <c r="J78" s="73"/>
      <c r="K78" s="73"/>
      <c r="L78" s="24"/>
      <c r="M78" s="24"/>
      <c r="N78" s="24"/>
      <c r="O78" s="24"/>
      <c r="P78" s="24"/>
      <c r="Q78" s="24"/>
      <c r="R78" s="24"/>
    </row>
    <row r="79" spans="2:18" x14ac:dyDescent="0.3">
      <c r="B79" s="1" t="s">
        <v>73</v>
      </c>
      <c r="E79" s="73"/>
      <c r="F79" s="73"/>
      <c r="G79" s="73"/>
      <c r="H79" s="73"/>
      <c r="I79" s="73"/>
      <c r="J79" s="73"/>
      <c r="K79" s="73"/>
      <c r="L79" s="24"/>
      <c r="M79" s="24"/>
      <c r="N79" s="24"/>
      <c r="O79" s="24"/>
      <c r="P79" s="24"/>
      <c r="Q79" s="24"/>
      <c r="R79" s="24"/>
    </row>
    <row r="80" spans="2:18" ht="15" thickBot="1" x14ac:dyDescent="0.35">
      <c r="B80" s="17" t="s">
        <v>67</v>
      </c>
      <c r="C80" s="17"/>
      <c r="D80" s="17"/>
      <c r="E80" s="74">
        <f t="shared" ref="E80:O80" si="105">SUM(E75:E79)</f>
        <v>-0.64147600000000005</v>
      </c>
      <c r="F80" s="74">
        <f t="shared" ref="F80" si="106">SUM(F75:F79)</f>
        <v>-1.29</v>
      </c>
      <c r="G80" s="74">
        <f t="shared" si="105"/>
        <v>-3.323</v>
      </c>
      <c r="H80" s="74">
        <f t="shared" ref="H80:I80" si="107">SUM(H75:H79)</f>
        <v>-7.1520000000000001</v>
      </c>
      <c r="I80" s="74">
        <f t="shared" si="107"/>
        <v>-6.673</v>
      </c>
      <c r="J80" s="74">
        <f t="shared" si="105"/>
        <v>-8.6989999999999998</v>
      </c>
      <c r="K80" s="74">
        <f t="shared" si="105"/>
        <v>-9.8819999999999997</v>
      </c>
      <c r="L80" s="26">
        <f t="shared" ref="L80" si="108">SUM(L75:L79)</f>
        <v>-10.079639999999999</v>
      </c>
      <c r="M80" s="26">
        <f t="shared" si="105"/>
        <v>-10.2812328</v>
      </c>
      <c r="N80" s="26">
        <f t="shared" si="105"/>
        <v>-10.486857455999999</v>
      </c>
      <c r="O80" s="26">
        <f t="shared" si="105"/>
        <v>-10.69659460512</v>
      </c>
      <c r="P80" s="26">
        <f t="shared" ref="P80:R80" si="109">SUM(P75:P79)</f>
        <v>-10.910526497222399</v>
      </c>
      <c r="Q80" s="26">
        <f t="shared" si="109"/>
        <v>-11.128737027166848</v>
      </c>
      <c r="R80" s="26">
        <f t="shared" si="109"/>
        <v>-11.351311767710184</v>
      </c>
    </row>
    <row r="81" spans="2:18" ht="15" thickTop="1" x14ac:dyDescent="0.3">
      <c r="B81" s="1" t="s">
        <v>81</v>
      </c>
      <c r="E81" s="73">
        <f>E51</f>
        <v>0.13334099999999999</v>
      </c>
      <c r="F81" s="73">
        <f>F51</f>
        <v>-0.49199999999999999</v>
      </c>
      <c r="G81" s="73">
        <f>G51</f>
        <v>-1.0900000000000001</v>
      </c>
      <c r="H81" s="73">
        <f>H51</f>
        <v>-2.202</v>
      </c>
      <c r="I81" s="73">
        <f>I51</f>
        <v>-2.5619999999999998</v>
      </c>
      <c r="J81" s="73">
        <v>-3.3639999999999999</v>
      </c>
      <c r="K81" s="73">
        <v>-5.7220000000000004</v>
      </c>
      <c r="L81" s="24">
        <f>L51</f>
        <v>-6.8597753884241781</v>
      </c>
      <c r="M81" s="24">
        <f>M51</f>
        <v>-6.4893998579458696</v>
      </c>
      <c r="N81" s="24">
        <f t="shared" ref="N81:R81" si="110">N51</f>
        <v>-6.6191878551047854</v>
      </c>
      <c r="O81" s="24">
        <f t="shared" si="110"/>
        <v>-6.751571612206881</v>
      </c>
      <c r="P81" s="24">
        <f t="shared" si="110"/>
        <v>-6.886603044451018</v>
      </c>
      <c r="Q81" s="24">
        <f t="shared" si="110"/>
        <v>-7.0243351053400396</v>
      </c>
      <c r="R81" s="24">
        <f t="shared" si="110"/>
        <v>-7.1986599744844293</v>
      </c>
    </row>
    <row r="82" spans="2:18" x14ac:dyDescent="0.3">
      <c r="B82" s="1" t="s">
        <v>82</v>
      </c>
      <c r="E82" s="73">
        <v>0.47952799999999995</v>
      </c>
      <c r="F82" s="73">
        <v>6.3879999999999999</v>
      </c>
      <c r="G82" s="73">
        <v>12.548</v>
      </c>
      <c r="H82" s="73">
        <f>0.921+6.514</f>
        <v>7.4350000000000005</v>
      </c>
      <c r="I82" s="73">
        <f>6.01+7.586</f>
        <v>13.596</v>
      </c>
      <c r="J82" s="73">
        <f>25.039-7.951</f>
        <v>17.088000000000001</v>
      </c>
      <c r="K82" s="73">
        <f>-8.749+24.43</f>
        <v>15.680999999999999</v>
      </c>
      <c r="L82" s="24">
        <f>L25-K25</f>
        <v>-9.7923321659853713</v>
      </c>
      <c r="M82" s="24">
        <f>M25-L25</f>
        <v>1.4476133566802787</v>
      </c>
      <c r="N82" s="24">
        <f t="shared" ref="N82:R82" si="111">N25-M25</f>
        <v>1.4765656238138831</v>
      </c>
      <c r="O82" s="24">
        <f t="shared" si="111"/>
        <v>1.5060969362901773</v>
      </c>
      <c r="P82" s="24">
        <f t="shared" si="111"/>
        <v>1.536218875015976</v>
      </c>
      <c r="Q82" s="24">
        <f t="shared" si="111"/>
        <v>1.5669432525163103</v>
      </c>
      <c r="R82" s="24">
        <f t="shared" si="111"/>
        <v>2.3606704659176216</v>
      </c>
    </row>
    <row r="83" spans="2:18" x14ac:dyDescent="0.3">
      <c r="B83" s="1" t="s">
        <v>83</v>
      </c>
      <c r="E83" s="73"/>
      <c r="F83" s="73"/>
      <c r="G83" s="73"/>
      <c r="H83" s="73"/>
      <c r="I83" s="73"/>
      <c r="J83" s="73"/>
      <c r="K83" s="73"/>
      <c r="L83" s="24"/>
      <c r="M83" s="24"/>
      <c r="N83" s="24"/>
      <c r="O83" s="24"/>
      <c r="P83" s="24"/>
      <c r="Q83" s="24"/>
      <c r="R83" s="24"/>
    </row>
    <row r="84" spans="2:18" x14ac:dyDescent="0.3">
      <c r="B84" s="1" t="s">
        <v>84</v>
      </c>
      <c r="E84" s="73"/>
      <c r="F84" s="73"/>
      <c r="G84" s="73"/>
      <c r="H84" s="73"/>
      <c r="I84" s="73"/>
      <c r="J84" s="73"/>
      <c r="K84" s="73"/>
      <c r="L84" s="24">
        <f>-L$55*summary!L$34*summary!L$35</f>
        <v>0</v>
      </c>
      <c r="M84" s="24">
        <f>-M$55*summary!M$34*summary!M$35</f>
        <v>0</v>
      </c>
      <c r="N84" s="24">
        <f>-N$55*summary!N$34*summary!N$35</f>
        <v>0</v>
      </c>
      <c r="O84" s="24">
        <f>-O$55*summary!O$34*summary!O$35</f>
        <v>0</v>
      </c>
      <c r="P84" s="24">
        <f>-P$55*summary!P$34*summary!P$35</f>
        <v>0</v>
      </c>
      <c r="Q84" s="24">
        <f>-Q$55*summary!Q$34*summary!Q$35</f>
        <v>0</v>
      </c>
      <c r="R84" s="24">
        <f>-R$55*summary!R$34*summary!R$35</f>
        <v>0</v>
      </c>
    </row>
    <row r="85" spans="2:18" x14ac:dyDescent="0.3">
      <c r="B85" s="1" t="s">
        <v>85</v>
      </c>
      <c r="E85" s="73">
        <v>-2.0201579999999999</v>
      </c>
      <c r="F85" s="73">
        <v>-3.7010000000000001</v>
      </c>
      <c r="G85" s="73">
        <v>-0.82</v>
      </c>
      <c r="H85" s="73">
        <v>-2.75</v>
      </c>
      <c r="I85" s="73">
        <v>-1.1599999999999999</v>
      </c>
      <c r="J85" s="73">
        <v>-1.74</v>
      </c>
      <c r="K85" s="73">
        <v>-1.18</v>
      </c>
      <c r="L85" s="24">
        <f>-L$55*summary!L$34*(1-summary!L$35)</f>
        <v>0</v>
      </c>
      <c r="M85" s="24">
        <f>-M$55*summary!M$34*(1-summary!M$35)</f>
        <v>0</v>
      </c>
      <c r="N85" s="24">
        <f>-N$55*summary!N$34*(1-summary!N$35)</f>
        <v>0</v>
      </c>
      <c r="O85" s="24">
        <f>-O$55*summary!O$34*(1-summary!O$35)</f>
        <v>0</v>
      </c>
      <c r="P85" s="24">
        <f>-P$55*summary!P$34*(1-summary!P$35)</f>
        <v>0</v>
      </c>
      <c r="Q85" s="24">
        <f>-Q$55*summary!Q$34*(1-summary!Q$35)</f>
        <v>0</v>
      </c>
      <c r="R85" s="24">
        <f>-R$55*summary!R$34*(1-summary!R$35)</f>
        <v>0</v>
      </c>
    </row>
    <row r="86" spans="2:18" x14ac:dyDescent="0.3">
      <c r="B86" s="1" t="s">
        <v>148</v>
      </c>
      <c r="E86" s="73"/>
      <c r="F86" s="73"/>
      <c r="G86" s="73"/>
      <c r="H86" s="73"/>
      <c r="I86" s="73"/>
      <c r="J86" s="73"/>
      <c r="K86" s="73"/>
      <c r="L86" s="24">
        <f>3.75%*-K36</f>
        <v>0</v>
      </c>
      <c r="M86" s="24">
        <f>3.75%*-L36</f>
        <v>0</v>
      </c>
      <c r="N86" s="24">
        <f>M86</f>
        <v>0</v>
      </c>
      <c r="O86" s="24">
        <f>N86</f>
        <v>0</v>
      </c>
      <c r="P86" s="24">
        <f>O86</f>
        <v>0</v>
      </c>
      <c r="Q86" s="24">
        <f>P86</f>
        <v>0</v>
      </c>
      <c r="R86" s="24">
        <f>Q86</f>
        <v>0</v>
      </c>
    </row>
    <row r="87" spans="2:18" x14ac:dyDescent="0.3">
      <c r="B87" s="1" t="s">
        <v>73</v>
      </c>
      <c r="E87" s="73">
        <f>E52</f>
        <v>4.8000000000000001E-4</v>
      </c>
      <c r="F87" s="73"/>
      <c r="G87" s="73"/>
      <c r="H87" s="73"/>
      <c r="I87" s="73"/>
      <c r="J87" s="73"/>
      <c r="K87" s="73"/>
      <c r="L87" s="24"/>
      <c r="M87" s="24"/>
      <c r="N87" s="24"/>
      <c r="O87" s="24"/>
      <c r="P87" s="24"/>
      <c r="Q87" s="24"/>
      <c r="R87" s="24"/>
    </row>
    <row r="88" spans="2:18" ht="15" thickBot="1" x14ac:dyDescent="0.35">
      <c r="B88" s="17" t="s">
        <v>68</v>
      </c>
      <c r="C88" s="17"/>
      <c r="D88" s="17"/>
      <c r="E88" s="74">
        <f t="shared" ref="E88:O88" si="112">SUM(E81:E87)</f>
        <v>-1.406809</v>
      </c>
      <c r="F88" s="74">
        <f t="shared" ref="F88" si="113">SUM(F81:F87)</f>
        <v>2.1949999999999998</v>
      </c>
      <c r="G88" s="74">
        <f t="shared" si="112"/>
        <v>10.638</v>
      </c>
      <c r="H88" s="74">
        <f t="shared" ref="H88:I88" si="114">SUM(H81:H87)</f>
        <v>2.4830000000000005</v>
      </c>
      <c r="I88" s="74">
        <f t="shared" si="114"/>
        <v>9.8740000000000006</v>
      </c>
      <c r="J88" s="74">
        <f t="shared" si="112"/>
        <v>11.984</v>
      </c>
      <c r="K88" s="74">
        <f t="shared" si="112"/>
        <v>8.7789999999999999</v>
      </c>
      <c r="L88" s="26">
        <f t="shared" ref="L88" si="115">SUM(L81:L87)</f>
        <v>-16.65210755440955</v>
      </c>
      <c r="M88" s="26">
        <f t="shared" si="112"/>
        <v>-5.0417865012655909</v>
      </c>
      <c r="N88" s="26">
        <f t="shared" si="112"/>
        <v>-5.1426222312909022</v>
      </c>
      <c r="O88" s="26">
        <f t="shared" si="112"/>
        <v>-5.2454746759167037</v>
      </c>
      <c r="P88" s="26">
        <f t="shared" ref="P88:R88" si="116">SUM(P81:P87)</f>
        <v>-5.350384169435042</v>
      </c>
      <c r="Q88" s="26">
        <f t="shared" si="116"/>
        <v>-5.4573918528237293</v>
      </c>
      <c r="R88" s="26">
        <f t="shared" si="116"/>
        <v>-4.8379895085668077</v>
      </c>
    </row>
    <row r="89" spans="2:18" ht="15" thickTop="1" x14ac:dyDescent="0.3">
      <c r="E89" s="73"/>
      <c r="F89" s="73"/>
      <c r="G89" s="73"/>
      <c r="H89" s="73"/>
      <c r="I89" s="73"/>
      <c r="J89" s="73"/>
      <c r="K89" s="73"/>
      <c r="L89" s="24"/>
      <c r="M89" s="24"/>
      <c r="N89" s="24"/>
      <c r="O89" s="24"/>
      <c r="P89" s="24"/>
      <c r="Q89" s="24"/>
      <c r="R89" s="24"/>
    </row>
    <row r="90" spans="2:18" ht="15" thickBot="1" x14ac:dyDescent="0.35">
      <c r="B90" s="17" t="s">
        <v>69</v>
      </c>
      <c r="C90" s="17"/>
      <c r="D90" s="17"/>
      <c r="E90" s="74">
        <f t="shared" ref="E90:I90" si="117">D94</f>
        <v>0</v>
      </c>
      <c r="F90" s="74">
        <f t="shared" si="117"/>
        <v>0</v>
      </c>
      <c r="G90" s="74">
        <f t="shared" si="117"/>
        <v>2.5450000000000079</v>
      </c>
      <c r="H90" s="74">
        <f t="shared" si="117"/>
        <v>4.4379999999999926</v>
      </c>
      <c r="I90" s="74">
        <f t="shared" si="117"/>
        <v>1.1759999999999948</v>
      </c>
      <c r="J90" s="74">
        <f>I94</f>
        <v>8.2200000000000006</v>
      </c>
      <c r="K90" s="74">
        <f t="shared" ref="K90:N90" si="118">J94</f>
        <v>7.5620000000000003</v>
      </c>
      <c r="L90" s="26">
        <f t="shared" si="118"/>
        <v>9.0490000000000013</v>
      </c>
      <c r="M90" s="26">
        <f t="shared" si="118"/>
        <v>10.181576850266898</v>
      </c>
      <c r="N90" s="26">
        <f t="shared" si="118"/>
        <v>26.528401091603193</v>
      </c>
      <c r="O90" s="26">
        <f>N94</f>
        <v>43.302975352907353</v>
      </c>
      <c r="P90" s="26">
        <f t="shared" ref="P90:R90" si="119">O94</f>
        <v>60.458313771287536</v>
      </c>
      <c r="Q90" s="26">
        <f t="shared" si="119"/>
        <v>77.977089708400797</v>
      </c>
      <c r="R90" s="26">
        <f t="shared" si="119"/>
        <v>95.855371162410663</v>
      </c>
    </row>
    <row r="91" spans="2:18" ht="15" thickTop="1" x14ac:dyDescent="0.3">
      <c r="B91" s="1" t="s">
        <v>72</v>
      </c>
      <c r="E91" s="73">
        <f>SUM(E88,E80,E74)</f>
        <v>-2.3598740000000049</v>
      </c>
      <c r="F91" s="73">
        <f>SUM(F88,F80,F74)</f>
        <v>2.5450000000000079</v>
      </c>
      <c r="G91" s="73">
        <f>SUM(G88,G80,G74)</f>
        <v>1.8929999999999847</v>
      </c>
      <c r="H91" s="73">
        <f>SUM(H88,H80,H74)</f>
        <v>-3.2619999999999978</v>
      </c>
      <c r="I91" s="73">
        <f t="shared" ref="I91" si="120">SUM(I88,I80,I74)</f>
        <v>5.9679999999999982</v>
      </c>
      <c r="J91" s="73">
        <f>SUM(J88,J80,J74)</f>
        <v>-0.65800000000000036</v>
      </c>
      <c r="K91" s="73">
        <f t="shared" ref="K91:O91" si="121">SUM(K88,K80,K74)</f>
        <v>1.4870000000000005</v>
      </c>
      <c r="L91" s="24">
        <f>SUM(L88,L80,L74)</f>
        <v>1.1325768502668971</v>
      </c>
      <c r="M91" s="24">
        <f>SUM(M88,M80,M74)</f>
        <v>16.346824241336293</v>
      </c>
      <c r="N91" s="24">
        <f t="shared" si="121"/>
        <v>16.77457426130416</v>
      </c>
      <c r="O91" s="24">
        <f t="shared" si="121"/>
        <v>17.155338418380182</v>
      </c>
      <c r="P91" s="24">
        <f t="shared" ref="P91:R91" si="122">SUM(P88,P80,P74)</f>
        <v>17.518775937113258</v>
      </c>
      <c r="Q91" s="24">
        <f t="shared" si="122"/>
        <v>17.878281454009866</v>
      </c>
      <c r="R91" s="24">
        <f t="shared" si="122"/>
        <v>19.059811940113491</v>
      </c>
    </row>
    <row r="92" spans="2:18" x14ac:dyDescent="0.3">
      <c r="B92" s="1" t="s">
        <v>71</v>
      </c>
      <c r="E92" s="73">
        <v>0</v>
      </c>
      <c r="F92" s="73">
        <v>0</v>
      </c>
      <c r="G92" s="73">
        <v>0</v>
      </c>
      <c r="H92" s="73">
        <v>0</v>
      </c>
      <c r="I92" s="73">
        <v>0</v>
      </c>
      <c r="J92" s="73"/>
      <c r="K92" s="73"/>
      <c r="L92" s="24"/>
      <c r="M92" s="24"/>
      <c r="N92" s="24"/>
      <c r="O92" s="24"/>
      <c r="P92" s="24"/>
      <c r="Q92" s="24"/>
      <c r="R92" s="24"/>
    </row>
    <row r="93" spans="2:18" x14ac:dyDescent="0.3">
      <c r="B93" s="1" t="s">
        <v>73</v>
      </c>
      <c r="E93" s="73"/>
      <c r="F93" s="73"/>
      <c r="G93" s="73"/>
      <c r="H93" s="73"/>
      <c r="I93" s="73"/>
      <c r="J93" s="73"/>
      <c r="K93" s="73"/>
      <c r="L93" s="24"/>
      <c r="M93" s="24"/>
      <c r="N93" s="24"/>
      <c r="O93" s="24"/>
      <c r="P93" s="24"/>
      <c r="Q93" s="24"/>
      <c r="R93" s="24"/>
    </row>
    <row r="94" spans="2:18" ht="15" thickBot="1" x14ac:dyDescent="0.35">
      <c r="B94" s="17" t="s">
        <v>70</v>
      </c>
      <c r="C94" s="17"/>
      <c r="D94" s="17"/>
      <c r="E94" s="74">
        <v>0</v>
      </c>
      <c r="F94" s="74">
        <f t="shared" ref="F94:O94" si="123">SUM(F90:F93)</f>
        <v>2.5450000000000079</v>
      </c>
      <c r="G94" s="74">
        <f t="shared" si="123"/>
        <v>4.4379999999999926</v>
      </c>
      <c r="H94" s="74">
        <f t="shared" ref="H94" si="124">SUM(H90:H93)</f>
        <v>1.1759999999999948</v>
      </c>
      <c r="I94" s="74">
        <v>8.2200000000000006</v>
      </c>
      <c r="J94" s="74">
        <f t="shared" si="123"/>
        <v>7.5620000000000003</v>
      </c>
      <c r="K94" s="74">
        <f t="shared" si="123"/>
        <v>9.0490000000000013</v>
      </c>
      <c r="L94" s="26">
        <f t="shared" ref="L94" si="125">SUM(L90:L93)</f>
        <v>10.181576850266898</v>
      </c>
      <c r="M94" s="26">
        <f t="shared" si="123"/>
        <v>26.528401091603193</v>
      </c>
      <c r="N94" s="26">
        <f t="shared" si="123"/>
        <v>43.302975352907353</v>
      </c>
      <c r="O94" s="26">
        <f t="shared" si="123"/>
        <v>60.458313771287536</v>
      </c>
      <c r="P94" s="26">
        <f t="shared" ref="P94:R94" si="126">SUM(P90:P93)</f>
        <v>77.977089708400797</v>
      </c>
      <c r="Q94" s="26">
        <f t="shared" si="126"/>
        <v>95.855371162410663</v>
      </c>
      <c r="R94" s="26">
        <f t="shared" si="126"/>
        <v>114.91518310252415</v>
      </c>
    </row>
    <row r="95" spans="2:18" ht="15" thickTop="1" x14ac:dyDescent="0.3"/>
    <row r="96" spans="2:18" x14ac:dyDescent="0.3">
      <c r="B96" s="21" t="s">
        <v>56</v>
      </c>
      <c r="E96" s="29"/>
      <c r="F96" s="29"/>
      <c r="G96" s="29"/>
      <c r="H96" s="29"/>
      <c r="I96" s="29"/>
      <c r="J96" s="29">
        <v>7.5620000000000003</v>
      </c>
      <c r="K96" s="29">
        <v>9.0489999999999995</v>
      </c>
      <c r="L96" s="29">
        <f t="shared" ref="L96:R96" si="127">L12</f>
        <v>10.181576850266898</v>
      </c>
      <c r="M96" s="29">
        <f t="shared" si="127"/>
        <v>26.528401091603193</v>
      </c>
      <c r="N96" s="29">
        <f t="shared" si="127"/>
        <v>43.302975352907353</v>
      </c>
      <c r="O96" s="29">
        <f t="shared" si="127"/>
        <v>60.458313771287536</v>
      </c>
      <c r="P96" s="29">
        <f t="shared" si="127"/>
        <v>77.977089708400797</v>
      </c>
      <c r="Q96" s="29">
        <f t="shared" si="127"/>
        <v>95.855371162410663</v>
      </c>
      <c r="R96" s="29">
        <f t="shared" si="127"/>
        <v>114.91518310252415</v>
      </c>
    </row>
    <row r="97" spans="2:18" x14ac:dyDescent="0.3">
      <c r="B97" s="21" t="s">
        <v>37</v>
      </c>
      <c r="E97" s="23"/>
      <c r="F97" s="23"/>
      <c r="G97" s="23"/>
      <c r="H97" s="23"/>
      <c r="I97" s="23"/>
      <c r="J97" s="23">
        <f>J96-J94</f>
        <v>0</v>
      </c>
      <c r="K97" s="23">
        <f>K96-K94</f>
        <v>0</v>
      </c>
      <c r="L97" s="23">
        <f t="shared" ref="L97" si="128">L96-L94</f>
        <v>0</v>
      </c>
      <c r="M97" s="23">
        <f t="shared" ref="M97:R97" si="129">M96-M94</f>
        <v>0</v>
      </c>
      <c r="N97" s="23">
        <f t="shared" si="129"/>
        <v>0</v>
      </c>
      <c r="O97" s="23">
        <f t="shared" si="129"/>
        <v>0</v>
      </c>
      <c r="P97" s="23">
        <f t="shared" si="129"/>
        <v>0</v>
      </c>
      <c r="Q97" s="23">
        <f t="shared" si="129"/>
        <v>0</v>
      </c>
      <c r="R97" s="23">
        <f t="shared" si="129"/>
        <v>0</v>
      </c>
    </row>
  </sheetData>
  <sheetProtection algorithmName="SHA-512" hashValue="YG7IS/f3cC9WQ3+O4vrs0uq1L/BxlVKW+xSCGztcpRgvqwu4am1TLEnjd6G0D/e4Qf/w+kME+zRJDm/Eo7Ju0w==" saltValue="DA+rnYcItlGIoADUUw/+Uw==" spinCount="100000" sheet="1" formatCells="0" formatColumns="0" formatRows="0" insertColumns="0" insertRows="0" insertHyperlinks="0" deleteColumns="0" deleteRows="0" selectLockedCells="1" sort="0" autoFilter="0" pivotTables="0"/>
  <conditionalFormatting sqref="E39:R39 E64:R64">
    <cfRule type="cellIs" dxfId="5" priority="46" operator="equal">
      <formula>0</formula>
    </cfRule>
  </conditionalFormatting>
  <conditionalFormatting sqref="E97:R97">
    <cfRule type="cellIs" dxfId="4" priority="36" operator="equal">
      <formula>0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FD2E710A-171D-47AC-95F6-04A30387347E}">
            <xm:f>D$6&gt;cover!$E$13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E43:R44 E46:R47 E54:R54 E75:R79 E35:R36 E31:R33 E57:R58 E68:R73 E51:R52 E49:R49 E12:R19 E91:R93 D67 E81:R87 E60:R61 E22:R26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D5BE-0D9E-4093-8F12-2222BD290101}">
  <dimension ref="A1:P10"/>
  <sheetViews>
    <sheetView workbookViewId="0">
      <selection activeCell="A4" sqref="A4"/>
    </sheetView>
  </sheetViews>
  <sheetFormatPr defaultColWidth="9.109375" defaultRowHeight="14.4" x14ac:dyDescent="0.3"/>
  <cols>
    <col min="1" max="1" width="2.6640625" style="1" customWidth="1"/>
    <col min="2" max="5" width="12.6640625" style="1" customWidth="1"/>
    <col min="6" max="6" width="12.6640625" style="8" customWidth="1"/>
    <col min="7" max="52" width="12.6640625" style="1" customWidth="1"/>
    <col min="53" max="16384" width="9.109375" style="1"/>
  </cols>
  <sheetData>
    <row r="1" spans="1:16" ht="33.6" x14ac:dyDescent="0.65">
      <c r="B1" s="88" t="s">
        <v>187</v>
      </c>
    </row>
    <row r="2" spans="1:16" s="15" customFormat="1" ht="15" thickBot="1" x14ac:dyDescent="0.35">
      <c r="A2" s="13"/>
      <c r="B2" s="14" t="str">
        <f>UPPER(cover!E8&amp;" - "&amp;DAY(cover!E12)&amp;"/"&amp;MONTH(cover!E12)&amp;"/"&amp;YEAR(cover!E12))</f>
        <v>ANEXO GROUP PLC - 13/5/2023</v>
      </c>
      <c r="F2" s="13"/>
    </row>
    <row r="3" spans="1:16" ht="15" thickTop="1" x14ac:dyDescent="0.3">
      <c r="B3" s="25" t="str">
        <f>IF($E$10&lt;&gt;0,"**ERROR**","")</f>
        <v/>
      </c>
    </row>
    <row r="4" spans="1:16" s="3" customFormat="1" x14ac:dyDescent="0.3">
      <c r="A4" s="5"/>
      <c r="B4" s="2" t="s">
        <v>38</v>
      </c>
      <c r="F4" s="4"/>
    </row>
    <row r="6" spans="1:16" x14ac:dyDescent="0.3">
      <c r="B6" s="1" t="s">
        <v>39</v>
      </c>
      <c r="E6" s="23">
        <f>SUM('detailed-financials'!E39:O39)</f>
        <v>0</v>
      </c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B7" s="1" t="s">
        <v>40</v>
      </c>
      <c r="E7" s="23">
        <f>SUM('detailed-financials'!E64:O64)</f>
        <v>0</v>
      </c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3">
      <c r="B8" s="1" t="s">
        <v>41</v>
      </c>
      <c r="E8" s="23">
        <f>SUM('detailed-financials'!E97:O97)</f>
        <v>0</v>
      </c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</row>
    <row r="10" spans="1:16" x14ac:dyDescent="0.3">
      <c r="B10" s="21" t="s">
        <v>37</v>
      </c>
      <c r="E10" s="23">
        <f>SUM(E6:E8)</f>
        <v>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</sheetData>
  <sheetProtection algorithmName="SHA-512" hashValue="SBqufY3+skigr7bZ3zLuQP4Jo3X6g69v4/B9qbe0Tm2hFjCQkUXHT8ho3fabnD7NovtxM/cmBErsDBKS/4VzFA==" saltValue="pj/xZkldaemta8HZbCH/dg==" spinCount="100000" sheet="1" formatCells="0" formatColumns="0" formatRows="0" insertColumns="0" insertRows="0" insertHyperlinks="0" deleteColumns="0" deleteRows="0" selectLockedCells="1" sort="0" autoFilter="0" pivotTables="0"/>
  <conditionalFormatting sqref="F10:P10">
    <cfRule type="cellIs" dxfId="2" priority="3" operator="notEqual">
      <formula>"OK"</formula>
    </cfRule>
  </conditionalFormatting>
  <conditionalFormatting sqref="E6:E8">
    <cfRule type="cellIs" dxfId="1" priority="2" operator="equal">
      <formula>0</formula>
    </cfRule>
  </conditionalFormatting>
  <conditionalFormatting sqref="E10">
    <cfRule type="cellIs" dxfId="0" priority="1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summary</vt:lpstr>
      <vt:lpstr>WACC</vt:lpstr>
      <vt:lpstr>detailed-financials</vt:lpstr>
      <vt:lpstr>checks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2022-10-29T12:00:07Z</dcterms:created>
  <dcterms:modified xsi:type="dcterms:W3CDTF">2023-05-13T14:46:40Z</dcterms:modified>
</cp:coreProperties>
</file>