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Moss\Documents\Tim M\PF\ANX\"/>
    </mc:Choice>
  </mc:AlternateContent>
  <xr:revisionPtr revIDLastSave="0" documentId="13_ncr:1_{B4C8FDF0-E766-40A0-906E-78F167DBCF18}" xr6:coauthVersionLast="47" xr6:coauthVersionMax="47" xr10:uidLastSave="{00000000-0000-0000-0000-000000000000}"/>
  <workbookProtection workbookAlgorithmName="SHA-512" workbookHashValue="das22Ir2ZX9WihgCyZCZPyo8Xye5thSl2Gmc0uxurOvOAqnYOYIEqVPGLclJasICnRMl0eEwgDpC+vAHpZGJzg==" workbookSaltValue="FDvaBj3GFHc4+5ScnkVeXw==" workbookSpinCount="100000" lockStructure="1"/>
  <bookViews>
    <workbookView xWindow="-108" yWindow="-108" windowWidth="23256" windowHeight="12456" firstSheet="1" activeTab="1" xr2:uid="{4464965C-57E2-470B-B959-64ECF7EB36CC}"/>
  </bookViews>
  <sheets>
    <sheet name="cover" sheetId="1" state="hidden" r:id="rId1"/>
    <sheet name="summary" sheetId="11" r:id="rId2"/>
    <sheet name="WACC" sheetId="12" r:id="rId3"/>
    <sheet name="detailed-financials" sheetId="4" r:id="rId4"/>
    <sheet name="checks" sheetId="6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6" i="11" l="1"/>
  <c r="L36" i="11"/>
  <c r="K6" i="4"/>
  <c r="L63" i="11"/>
  <c r="B61" i="11"/>
  <c r="D11" i="11"/>
  <c r="D12" i="11"/>
  <c r="H83" i="11"/>
  <c r="I17" i="12"/>
  <c r="I16" i="12"/>
  <c r="I15" i="12"/>
  <c r="I12" i="12"/>
  <c r="I10" i="12"/>
  <c r="K47" i="11"/>
  <c r="J47" i="11"/>
  <c r="I47" i="11"/>
  <c r="H47" i="11"/>
  <c r="G47" i="11"/>
  <c r="F47" i="11"/>
  <c r="E47" i="11"/>
  <c r="K52" i="11"/>
  <c r="F52" i="11"/>
  <c r="G52" i="11"/>
  <c r="H52" i="11"/>
  <c r="I52" i="11"/>
  <c r="J52" i="11"/>
  <c r="F49" i="11"/>
  <c r="G49" i="11"/>
  <c r="H49" i="11"/>
  <c r="I49" i="11"/>
  <c r="J49" i="11"/>
  <c r="K49" i="11"/>
  <c r="E49" i="11"/>
  <c r="F45" i="11"/>
  <c r="G45" i="11"/>
  <c r="H45" i="11"/>
  <c r="I45" i="11"/>
  <c r="J45" i="11"/>
  <c r="K45" i="11"/>
  <c r="E45" i="11"/>
  <c r="F43" i="11"/>
  <c r="G43" i="11"/>
  <c r="H43" i="11"/>
  <c r="I43" i="11"/>
  <c r="J43" i="11"/>
  <c r="K43" i="11"/>
  <c r="E43" i="11"/>
  <c r="F42" i="11"/>
  <c r="G42" i="11"/>
  <c r="H42" i="11"/>
  <c r="I42" i="11"/>
  <c r="J42" i="11"/>
  <c r="K42" i="11"/>
  <c r="E42" i="11"/>
  <c r="F20" i="11"/>
  <c r="G20" i="11"/>
  <c r="H20" i="11"/>
  <c r="I20" i="11"/>
  <c r="J20" i="11"/>
  <c r="E20" i="11"/>
  <c r="F19" i="11"/>
  <c r="G19" i="11"/>
  <c r="H19" i="11"/>
  <c r="I19" i="11"/>
  <c r="J19" i="11"/>
  <c r="E19" i="11"/>
  <c r="K36" i="11"/>
  <c r="J36" i="11"/>
  <c r="I36" i="11"/>
  <c r="H36" i="11"/>
  <c r="G36" i="11"/>
  <c r="F36" i="11"/>
  <c r="E36" i="11"/>
  <c r="K35" i="11"/>
  <c r="J35" i="11"/>
  <c r="I35" i="11"/>
  <c r="H35" i="11"/>
  <c r="G35" i="11"/>
  <c r="F35" i="11"/>
  <c r="E35" i="11"/>
  <c r="K34" i="11"/>
  <c r="J34" i="11"/>
  <c r="I34" i="11"/>
  <c r="H34" i="11"/>
  <c r="G34" i="11"/>
  <c r="F34" i="11"/>
  <c r="E34" i="11"/>
  <c r="J33" i="11"/>
  <c r="J32" i="11"/>
  <c r="I32" i="11"/>
  <c r="H32" i="11"/>
  <c r="G32" i="11"/>
  <c r="F32" i="11"/>
  <c r="E32" i="11"/>
  <c r="J31" i="11"/>
  <c r="I31" i="11"/>
  <c r="H31" i="11"/>
  <c r="G31" i="11"/>
  <c r="F31" i="11"/>
  <c r="E31" i="11"/>
  <c r="J30" i="11"/>
  <c r="I30" i="11"/>
  <c r="H30" i="11"/>
  <c r="G30" i="11"/>
  <c r="F30" i="11"/>
  <c r="E30" i="11"/>
  <c r="K29" i="11"/>
  <c r="J29" i="11"/>
  <c r="J38" i="11" s="1"/>
  <c r="I29" i="11"/>
  <c r="H29" i="11"/>
  <c r="G29" i="11"/>
  <c r="F29" i="11"/>
  <c r="E29" i="11"/>
  <c r="J27" i="11"/>
  <c r="I27" i="11"/>
  <c r="H27" i="11"/>
  <c r="G27" i="11"/>
  <c r="F27" i="11"/>
  <c r="K26" i="11"/>
  <c r="J26" i="11"/>
  <c r="I26" i="11"/>
  <c r="H26" i="11"/>
  <c r="G26" i="11"/>
  <c r="F26" i="11"/>
  <c r="E26" i="11"/>
  <c r="K25" i="11"/>
  <c r="L25" i="11" s="1"/>
  <c r="M25" i="11" s="1"/>
  <c r="N25" i="11" s="1"/>
  <c r="O25" i="11" s="1"/>
  <c r="P25" i="11" s="1"/>
  <c r="Q25" i="11" s="1"/>
  <c r="J25" i="11"/>
  <c r="I25" i="11"/>
  <c r="H25" i="11"/>
  <c r="G25" i="11"/>
  <c r="F25" i="11"/>
  <c r="E25" i="11"/>
  <c r="J24" i="11"/>
  <c r="I24" i="11"/>
  <c r="H24" i="11"/>
  <c r="G24" i="11"/>
  <c r="F24" i="11"/>
  <c r="F6" i="4"/>
  <c r="F7" i="4" s="1"/>
  <c r="N36" i="11" l="1"/>
  <c r="O36" i="11" s="1"/>
  <c r="P36" i="11" s="1"/>
  <c r="Q36" i="11" s="1"/>
  <c r="R36" i="11" s="1"/>
  <c r="K19" i="11"/>
  <c r="L26" i="11"/>
  <c r="M26" i="11" s="1"/>
  <c r="N26" i="11" s="1"/>
  <c r="O26" i="11" s="1"/>
  <c r="P26" i="11" s="1"/>
  <c r="Q26" i="11" s="1"/>
  <c r="R26" i="11" s="1"/>
  <c r="E63" i="11"/>
  <c r="I58" i="11"/>
  <c r="I59" i="11" s="1"/>
  <c r="F58" i="11"/>
  <c r="F59" i="11" s="1"/>
  <c r="H44" i="11"/>
  <c r="H58" i="11"/>
  <c r="H59" i="11" s="1"/>
  <c r="K48" i="11"/>
  <c r="G48" i="11"/>
  <c r="K58" i="11"/>
  <c r="J58" i="11"/>
  <c r="J59" i="11" s="1"/>
  <c r="G53" i="11"/>
  <c r="H48" i="11"/>
  <c r="I48" i="11"/>
  <c r="G58" i="11"/>
  <c r="G59" i="11" s="1"/>
  <c r="J48" i="11"/>
  <c r="E48" i="11"/>
  <c r="F48" i="11"/>
  <c r="J53" i="11"/>
  <c r="I53" i="11"/>
  <c r="H53" i="11"/>
  <c r="F53" i="11"/>
  <c r="K46" i="11"/>
  <c r="F46" i="11"/>
  <c r="I46" i="11"/>
  <c r="J44" i="11"/>
  <c r="K44" i="11"/>
  <c r="G44" i="11"/>
  <c r="E44" i="11"/>
  <c r="G50" i="11"/>
  <c r="K50" i="11"/>
  <c r="G46" i="11"/>
  <c r="F50" i="11"/>
  <c r="E50" i="11"/>
  <c r="H50" i="11"/>
  <c r="I50" i="11"/>
  <c r="J50" i="11"/>
  <c r="E46" i="11"/>
  <c r="H46" i="11"/>
  <c r="F44" i="11"/>
  <c r="J46" i="11"/>
  <c r="I44" i="11"/>
  <c r="J37" i="11"/>
  <c r="G6" i="4"/>
  <c r="L87" i="4"/>
  <c r="L73" i="4"/>
  <c r="L53" i="4" s="1"/>
  <c r="L37" i="4"/>
  <c r="L34" i="4"/>
  <c r="L27" i="4"/>
  <c r="L25" i="4"/>
  <c r="L24" i="4"/>
  <c r="L23" i="4"/>
  <c r="L19" i="4"/>
  <c r="L17" i="4"/>
  <c r="L16" i="4"/>
  <c r="L15" i="4"/>
  <c r="J91" i="4"/>
  <c r="K83" i="4"/>
  <c r="J83" i="4"/>
  <c r="E64" i="11" l="1"/>
  <c r="F63" i="11"/>
  <c r="E61" i="11"/>
  <c r="G7" i="4"/>
  <c r="H6" i="4"/>
  <c r="J70" i="4"/>
  <c r="K70" i="4"/>
  <c r="K72" i="4"/>
  <c r="J72" i="4"/>
  <c r="F61" i="11" l="1"/>
  <c r="F64" i="11"/>
  <c r="G63" i="11"/>
  <c r="I6" i="4"/>
  <c r="H7" i="4"/>
  <c r="K50" i="4"/>
  <c r="K71" i="4" s="1"/>
  <c r="K48" i="4"/>
  <c r="J48" i="4"/>
  <c r="J50" i="4"/>
  <c r="G64" i="11" l="1"/>
  <c r="G61" i="11"/>
  <c r="H63" i="11"/>
  <c r="J71" i="4"/>
  <c r="J6" i="4"/>
  <c r="I7" i="4"/>
  <c r="K32" i="4"/>
  <c r="L32" i="4" s="1"/>
  <c r="J32" i="4"/>
  <c r="K26" i="4"/>
  <c r="K22" i="4"/>
  <c r="J22" i="4"/>
  <c r="J27" i="4"/>
  <c r="J26" i="4"/>
  <c r="E88" i="4"/>
  <c r="I82" i="4"/>
  <c r="H82" i="4"/>
  <c r="G82" i="4"/>
  <c r="F82" i="4"/>
  <c r="F89" i="4" s="1"/>
  <c r="E82" i="4"/>
  <c r="E91" i="4"/>
  <c r="F91" i="4"/>
  <c r="I78" i="4"/>
  <c r="F72" i="4"/>
  <c r="G72" i="4"/>
  <c r="H72" i="4"/>
  <c r="I72" i="4"/>
  <c r="E72" i="4"/>
  <c r="I26" i="4"/>
  <c r="H26" i="4"/>
  <c r="G26" i="4"/>
  <c r="F26" i="4"/>
  <c r="E26" i="4"/>
  <c r="F81" i="4"/>
  <c r="F71" i="4"/>
  <c r="F46" i="4"/>
  <c r="F35" i="4"/>
  <c r="F38" i="4" s="1"/>
  <c r="F20" i="4"/>
  <c r="I81" i="4"/>
  <c r="I71" i="4"/>
  <c r="H71" i="4"/>
  <c r="I46" i="4"/>
  <c r="H46" i="4"/>
  <c r="H35" i="4"/>
  <c r="H38" i="4" s="1"/>
  <c r="H20" i="4"/>
  <c r="G33" i="11" l="1"/>
  <c r="H28" i="11"/>
  <c r="G38" i="11"/>
  <c r="G37" i="11"/>
  <c r="J28" i="11"/>
  <c r="I33" i="11"/>
  <c r="I38" i="11"/>
  <c r="I37" i="11"/>
  <c r="H28" i="4"/>
  <c r="H33" i="11"/>
  <c r="I28" i="11"/>
  <c r="H38" i="11"/>
  <c r="H37" i="11"/>
  <c r="F28" i="4"/>
  <c r="F30" i="4" s="1"/>
  <c r="F40" i="4" s="1"/>
  <c r="F33" i="11"/>
  <c r="G28" i="11"/>
  <c r="F37" i="11"/>
  <c r="F38" i="11"/>
  <c r="E33" i="11"/>
  <c r="F28" i="11"/>
  <c r="E37" i="11"/>
  <c r="E38" i="11"/>
  <c r="H64" i="11"/>
  <c r="H61" i="11"/>
  <c r="I63" i="11"/>
  <c r="J63" i="11" s="1"/>
  <c r="J7" i="4"/>
  <c r="L78" i="4"/>
  <c r="F49" i="4"/>
  <c r="I35" i="4"/>
  <c r="I38" i="4" s="1"/>
  <c r="I20" i="4"/>
  <c r="H30" i="4"/>
  <c r="H40" i="4" s="1"/>
  <c r="H49" i="4"/>
  <c r="H51" i="4" s="1"/>
  <c r="I28" i="4"/>
  <c r="H81" i="4"/>
  <c r="I49" i="4"/>
  <c r="I51" i="4" s="1"/>
  <c r="I69" i="4" s="1"/>
  <c r="I75" i="4" s="1"/>
  <c r="H89" i="4"/>
  <c r="I89" i="4"/>
  <c r="J61" i="11" l="1"/>
  <c r="K63" i="11"/>
  <c r="J64" i="11"/>
  <c r="I61" i="11"/>
  <c r="I64" i="11"/>
  <c r="L81" i="4"/>
  <c r="K7" i="4"/>
  <c r="L6" i="4"/>
  <c r="I30" i="4"/>
  <c r="I40" i="4" s="1"/>
  <c r="F51" i="4"/>
  <c r="I54" i="4"/>
  <c r="I92" i="4"/>
  <c r="H69" i="4"/>
  <c r="H75" i="4" s="1"/>
  <c r="H92" i="4" s="1"/>
  <c r="H54" i="4"/>
  <c r="E73" i="11" l="1"/>
  <c r="E72" i="11"/>
  <c r="E70" i="11"/>
  <c r="L19" i="11"/>
  <c r="K24" i="11"/>
  <c r="K20" i="11"/>
  <c r="K28" i="11"/>
  <c r="L28" i="11" s="1"/>
  <c r="M28" i="11" s="1"/>
  <c r="N28" i="11" s="1"/>
  <c r="O28" i="11" s="1"/>
  <c r="P28" i="11" s="1"/>
  <c r="Q28" i="11" s="1"/>
  <c r="R28" i="11" s="1"/>
  <c r="K32" i="11"/>
  <c r="L32" i="11" s="1"/>
  <c r="M32" i="11" s="1"/>
  <c r="N32" i="11" s="1"/>
  <c r="O32" i="11" s="1"/>
  <c r="P32" i="11" s="1"/>
  <c r="Q32" i="11" s="1"/>
  <c r="R32" i="11" s="1"/>
  <c r="K27" i="11"/>
  <c r="K33" i="11"/>
  <c r="K30" i="11"/>
  <c r="K31" i="11"/>
  <c r="L31" i="11" s="1"/>
  <c r="M31" i="11" s="1"/>
  <c r="N31" i="11" s="1"/>
  <c r="O31" i="11" s="1"/>
  <c r="P31" i="11" s="1"/>
  <c r="Q31" i="11" s="1"/>
  <c r="R31" i="11" s="1"/>
  <c r="K37" i="11"/>
  <c r="K38" i="11"/>
  <c r="K61" i="11"/>
  <c r="K64" i="11"/>
  <c r="L64" i="11"/>
  <c r="L7" i="4"/>
  <c r="M6" i="4"/>
  <c r="M19" i="11" s="1"/>
  <c r="I56" i="4"/>
  <c r="I65" i="4" s="1"/>
  <c r="F69" i="4"/>
  <c r="F75" i="4" s="1"/>
  <c r="F92" i="4" s="1"/>
  <c r="F95" i="4" s="1"/>
  <c r="G91" i="4" s="1"/>
  <c r="F54" i="4"/>
  <c r="H56" i="4"/>
  <c r="H65" i="4" s="1"/>
  <c r="E12" i="12" l="1"/>
  <c r="I21" i="12" s="1"/>
  <c r="I22" i="12" s="1"/>
  <c r="L20" i="11"/>
  <c r="L44" i="4"/>
  <c r="L48" i="4" s="1"/>
  <c r="K53" i="11"/>
  <c r="K59" i="11"/>
  <c r="N6" i="4"/>
  <c r="N19" i="11" s="1"/>
  <c r="M7" i="4"/>
  <c r="M20" i="11" s="1"/>
  <c r="F56" i="4"/>
  <c r="F65" i="4" s="1"/>
  <c r="O6" i="4" l="1"/>
  <c r="N7" i="4"/>
  <c r="N20" i="11" s="1"/>
  <c r="O19" i="11" l="1"/>
  <c r="P6" i="4"/>
  <c r="O7" i="4"/>
  <c r="O20" i="11" s="1"/>
  <c r="M73" i="4"/>
  <c r="D15" i="11"/>
  <c r="M37" i="4"/>
  <c r="N37" i="4" s="1"/>
  <c r="O37" i="4" s="1"/>
  <c r="P37" i="4" s="1"/>
  <c r="Q37" i="4" s="1"/>
  <c r="R37" i="4" s="1"/>
  <c r="M87" i="4"/>
  <c r="P19" i="11" l="1"/>
  <c r="N87" i="4"/>
  <c r="Q6" i="4"/>
  <c r="P7" i="4"/>
  <c r="P20" i="11" s="1"/>
  <c r="N73" i="4"/>
  <c r="M53" i="4"/>
  <c r="Q19" i="11" l="1"/>
  <c r="J73" i="11"/>
  <c r="F72" i="11"/>
  <c r="G72" i="11"/>
  <c r="B2" i="12"/>
  <c r="B2" i="6"/>
  <c r="D10" i="11"/>
  <c r="D63" i="11" s="1"/>
  <c r="B2" i="1"/>
  <c r="O87" i="4"/>
  <c r="G73" i="11"/>
  <c r="B2" i="11"/>
  <c r="R6" i="4"/>
  <c r="K73" i="11" s="1"/>
  <c r="Q7" i="4"/>
  <c r="Q20" i="11" s="1"/>
  <c r="O73" i="4"/>
  <c r="H72" i="11" s="1"/>
  <c r="N53" i="4"/>
  <c r="L73" i="11" l="1"/>
  <c r="K72" i="11"/>
  <c r="J67" i="11"/>
  <c r="I67" i="11"/>
  <c r="L67" i="11"/>
  <c r="F67" i="11"/>
  <c r="E67" i="11"/>
  <c r="R7" i="4"/>
  <c r="R20" i="11" s="1"/>
  <c r="R19" i="11"/>
  <c r="K67" i="11" s="1"/>
  <c r="D84" i="11"/>
  <c r="D85" i="11"/>
  <c r="I11" i="12"/>
  <c r="L72" i="11"/>
  <c r="D86" i="11"/>
  <c r="J72" i="11"/>
  <c r="F73" i="11"/>
  <c r="E65" i="11"/>
  <c r="K65" i="11"/>
  <c r="L65" i="11" s="1"/>
  <c r="J65" i="11"/>
  <c r="H65" i="11"/>
  <c r="G65" i="11"/>
  <c r="F65" i="11"/>
  <c r="I65" i="11"/>
  <c r="P87" i="4"/>
  <c r="H73" i="11"/>
  <c r="P73" i="4"/>
  <c r="O53" i="4"/>
  <c r="I13" i="12" l="1"/>
  <c r="I18" i="12" s="1"/>
  <c r="I19" i="12" s="1"/>
  <c r="I24" i="12" s="1"/>
  <c r="I25" i="12" s="1"/>
  <c r="D8" i="11" s="1"/>
  <c r="G67" i="11"/>
  <c r="G55" i="11"/>
  <c r="H55" i="11"/>
  <c r="K55" i="11"/>
  <c r="F55" i="11"/>
  <c r="J55" i="11"/>
  <c r="I55" i="11"/>
  <c r="E55" i="11"/>
  <c r="H67" i="11"/>
  <c r="Q87" i="4"/>
  <c r="R87" i="4" s="1"/>
  <c r="I73" i="11"/>
  <c r="I72" i="11"/>
  <c r="Q73" i="4"/>
  <c r="P53" i="4"/>
  <c r="R73" i="4" l="1"/>
  <c r="R53" i="4" s="1"/>
  <c r="Q53" i="4"/>
  <c r="M78" i="4"/>
  <c r="F70" i="11" s="1"/>
  <c r="R78" i="4"/>
  <c r="M34" i="4"/>
  <c r="N34" i="4" s="1"/>
  <c r="O34" i="4" s="1"/>
  <c r="P34" i="4" s="1"/>
  <c r="Q34" i="4" s="1"/>
  <c r="R34" i="4" s="1"/>
  <c r="M19" i="4"/>
  <c r="N19" i="4" s="1"/>
  <c r="O19" i="4" s="1"/>
  <c r="P19" i="4" s="1"/>
  <c r="Q19" i="4" s="1"/>
  <c r="R19" i="4" s="1"/>
  <c r="M25" i="4"/>
  <c r="N25" i="4" s="1"/>
  <c r="O25" i="4" s="1"/>
  <c r="P25" i="4" s="1"/>
  <c r="Q25" i="4" s="1"/>
  <c r="R25" i="4" s="1"/>
  <c r="M24" i="4"/>
  <c r="N24" i="4" s="1"/>
  <c r="O24" i="4" s="1"/>
  <c r="P24" i="4" s="1"/>
  <c r="Q24" i="4" s="1"/>
  <c r="R24" i="4" s="1"/>
  <c r="M16" i="4"/>
  <c r="N16" i="4" s="1"/>
  <c r="O16" i="4" s="1"/>
  <c r="P16" i="4" s="1"/>
  <c r="Q16" i="4" s="1"/>
  <c r="R16" i="4" s="1"/>
  <c r="M15" i="4"/>
  <c r="N15" i="4" s="1"/>
  <c r="O15" i="4" s="1"/>
  <c r="P15" i="4" s="1"/>
  <c r="Q15" i="4" s="1"/>
  <c r="R15" i="4" s="1"/>
  <c r="J89" i="4"/>
  <c r="G81" i="4"/>
  <c r="K81" i="4"/>
  <c r="G71" i="4"/>
  <c r="E71" i="4"/>
  <c r="B2" i="4"/>
  <c r="D4" i="4"/>
  <c r="K46" i="4"/>
  <c r="J46" i="4"/>
  <c r="G46" i="4"/>
  <c r="E46" i="4"/>
  <c r="E49" i="4" s="1"/>
  <c r="M27" i="4"/>
  <c r="N27" i="4" s="1"/>
  <c r="O27" i="4" s="1"/>
  <c r="P27" i="4" s="1"/>
  <c r="Q27" i="4" s="1"/>
  <c r="R27" i="4" s="1"/>
  <c r="M23" i="4"/>
  <c r="N23" i="4" s="1"/>
  <c r="O23" i="4" s="1"/>
  <c r="P23" i="4" s="1"/>
  <c r="M17" i="4"/>
  <c r="N17" i="4" s="1"/>
  <c r="O17" i="4" s="1"/>
  <c r="P17" i="4" s="1"/>
  <c r="Q17" i="4" s="1"/>
  <c r="R17" i="4" s="1"/>
  <c r="J35" i="4"/>
  <c r="J38" i="4" s="1"/>
  <c r="G35" i="4"/>
  <c r="G38" i="4" s="1"/>
  <c r="E35" i="4"/>
  <c r="E38" i="4" s="1"/>
  <c r="R81" i="4" l="1"/>
  <c r="K70" i="11"/>
  <c r="M32" i="4"/>
  <c r="N32" i="4" s="1"/>
  <c r="O32" i="4" s="1"/>
  <c r="P32" i="4" s="1"/>
  <c r="Q32" i="4" s="1"/>
  <c r="M81" i="4"/>
  <c r="Q78" i="4"/>
  <c r="P78" i="4"/>
  <c r="I70" i="11" s="1"/>
  <c r="O78" i="4"/>
  <c r="H70" i="11" s="1"/>
  <c r="N78" i="4"/>
  <c r="G70" i="11" s="1"/>
  <c r="Q23" i="4"/>
  <c r="E89" i="4"/>
  <c r="K89" i="4"/>
  <c r="G89" i="4"/>
  <c r="J81" i="4"/>
  <c r="E81" i="4"/>
  <c r="K49" i="4"/>
  <c r="K51" i="4" s="1"/>
  <c r="J49" i="4"/>
  <c r="J51" i="4" s="1"/>
  <c r="G49" i="4"/>
  <c r="E51" i="4"/>
  <c r="K35" i="4"/>
  <c r="K38" i="4" s="1"/>
  <c r="K20" i="4"/>
  <c r="K28" i="4"/>
  <c r="G28" i="4"/>
  <c r="J28" i="4"/>
  <c r="G20" i="4"/>
  <c r="J20" i="4"/>
  <c r="E28" i="4"/>
  <c r="E20" i="4"/>
  <c r="D21" i="1"/>
  <c r="Q81" i="4" l="1"/>
  <c r="J70" i="11"/>
  <c r="N81" i="4"/>
  <c r="P81" i="4"/>
  <c r="O81" i="4"/>
  <c r="E69" i="4"/>
  <c r="E75" i="4" s="1"/>
  <c r="D22" i="1"/>
  <c r="D23" i="1" s="1"/>
  <c r="E14" i="1" s="1"/>
  <c r="G51" i="4"/>
  <c r="G54" i="4" s="1"/>
  <c r="R32" i="4"/>
  <c r="R23" i="4"/>
  <c r="J54" i="4"/>
  <c r="J69" i="4"/>
  <c r="J74" i="4" s="1"/>
  <c r="K54" i="4"/>
  <c r="K69" i="4"/>
  <c r="K74" i="4" s="1"/>
  <c r="E54" i="4"/>
  <c r="K30" i="4"/>
  <c r="K40" i="4" s="1"/>
  <c r="E30" i="4"/>
  <c r="E40" i="4" s="1"/>
  <c r="J30" i="4"/>
  <c r="J40" i="4" s="1"/>
  <c r="G30" i="4"/>
  <c r="G40" i="4" s="1"/>
  <c r="G69" i="4" l="1"/>
  <c r="G75" i="4" s="1"/>
  <c r="G92" i="4" s="1"/>
  <c r="J56" i="4"/>
  <c r="J58" i="4" s="1"/>
  <c r="E56" i="4"/>
  <c r="E65" i="4" s="1"/>
  <c r="G56" i="4"/>
  <c r="G65" i="4" s="1"/>
  <c r="K56" i="4"/>
  <c r="K58" i="4" s="1"/>
  <c r="E92" i="4"/>
  <c r="K75" i="4"/>
  <c r="K92" i="4" s="1"/>
  <c r="J75" i="4"/>
  <c r="J92" i="4" s="1"/>
  <c r="K65" i="4" l="1"/>
  <c r="J65" i="4"/>
  <c r="G95" i="4"/>
  <c r="H91" i="4" s="1"/>
  <c r="H95" i="4" s="1"/>
  <c r="I91" i="4" s="1"/>
  <c r="J95" i="4" l="1"/>
  <c r="J98" i="4" s="1"/>
  <c r="K91" i="4" l="1"/>
  <c r="K95" i="4" s="1"/>
  <c r="K98" i="4" l="1"/>
  <c r="L91" i="4"/>
  <c r="L42" i="11" l="1"/>
  <c r="L45" i="4" l="1"/>
  <c r="L22" i="4" s="1"/>
  <c r="L13" i="4"/>
  <c r="L14" i="4"/>
  <c r="M44" i="4"/>
  <c r="M42" i="11" s="1"/>
  <c r="L46" i="4" l="1"/>
  <c r="M13" i="4"/>
  <c r="M14" i="4"/>
  <c r="N44" i="4"/>
  <c r="N42" i="11" s="1"/>
  <c r="L70" i="4"/>
  <c r="E71" i="11" s="1"/>
  <c r="M48" i="4"/>
  <c r="M45" i="4"/>
  <c r="M22" i="4" s="1"/>
  <c r="L49" i="4" l="1"/>
  <c r="L43" i="11"/>
  <c r="O44" i="4"/>
  <c r="O42" i="11" s="1"/>
  <c r="M70" i="4"/>
  <c r="F71" i="11" s="1"/>
  <c r="M46" i="4"/>
  <c r="N14" i="4"/>
  <c r="N13" i="4"/>
  <c r="N48" i="4"/>
  <c r="N45" i="4"/>
  <c r="N22" i="4" s="1"/>
  <c r="L44" i="11" l="1"/>
  <c r="L26" i="4"/>
  <c r="L52" i="4" s="1"/>
  <c r="L82" i="4" s="1"/>
  <c r="L45" i="11"/>
  <c r="M49" i="4"/>
  <c r="M43" i="11"/>
  <c r="O45" i="4"/>
  <c r="O22" i="4" s="1"/>
  <c r="O13" i="4"/>
  <c r="O48" i="4"/>
  <c r="O14" i="4"/>
  <c r="N70" i="4"/>
  <c r="G71" i="11" s="1"/>
  <c r="N46" i="4"/>
  <c r="L46" i="11" l="1"/>
  <c r="H12" i="11"/>
  <c r="L28" i="4"/>
  <c r="M44" i="11"/>
  <c r="L83" i="4"/>
  <c r="M26" i="4"/>
  <c r="M28" i="4" s="1"/>
  <c r="M45" i="11"/>
  <c r="N49" i="4"/>
  <c r="N43" i="11"/>
  <c r="O70" i="4"/>
  <c r="H71" i="11" s="1"/>
  <c r="P44" i="4"/>
  <c r="P42" i="11" s="1"/>
  <c r="O46" i="4"/>
  <c r="M46" i="11" l="1"/>
  <c r="H13" i="11"/>
  <c r="N44" i="11"/>
  <c r="M83" i="4"/>
  <c r="M52" i="4"/>
  <c r="M82" i="4" s="1"/>
  <c r="N26" i="4"/>
  <c r="N52" i="4" s="1"/>
  <c r="N82" i="4" s="1"/>
  <c r="N45" i="11"/>
  <c r="O49" i="4"/>
  <c r="O43" i="11"/>
  <c r="Q44" i="4"/>
  <c r="P14" i="4"/>
  <c r="P48" i="4"/>
  <c r="P13" i="4"/>
  <c r="P45" i="4"/>
  <c r="P22" i="4" s="1"/>
  <c r="N46" i="11" l="1"/>
  <c r="H14" i="11"/>
  <c r="O44" i="11"/>
  <c r="N83" i="4"/>
  <c r="N28" i="4"/>
  <c r="O26" i="4"/>
  <c r="O83" i="4" s="1"/>
  <c r="O45" i="11"/>
  <c r="O46" i="11" s="1"/>
  <c r="Q48" i="4"/>
  <c r="Q42" i="11"/>
  <c r="R44" i="4"/>
  <c r="Q45" i="4"/>
  <c r="Q22" i="4" s="1"/>
  <c r="Q14" i="4"/>
  <c r="Q13" i="4"/>
  <c r="P70" i="4"/>
  <c r="I71" i="11" s="1"/>
  <c r="P46" i="4"/>
  <c r="O28" i="4" l="1"/>
  <c r="O52" i="4"/>
  <c r="O82" i="4" s="1"/>
  <c r="P49" i="4"/>
  <c r="P43" i="11"/>
  <c r="R14" i="4"/>
  <c r="R42" i="11"/>
  <c r="R13" i="4"/>
  <c r="R48" i="4"/>
  <c r="R45" i="4"/>
  <c r="R22" i="4" s="1"/>
  <c r="Q46" i="4"/>
  <c r="Q70" i="4"/>
  <c r="J71" i="11" s="1"/>
  <c r="P44" i="11" l="1"/>
  <c r="P26" i="4"/>
  <c r="P83" i="4" s="1"/>
  <c r="P45" i="11"/>
  <c r="P46" i="11" s="1"/>
  <c r="Q49" i="4"/>
  <c r="Q43" i="11"/>
  <c r="R46" i="4"/>
  <c r="R70" i="4"/>
  <c r="K71" i="11" s="1"/>
  <c r="Q44" i="11" l="1"/>
  <c r="P52" i="4"/>
  <c r="P82" i="4" s="1"/>
  <c r="P28" i="4"/>
  <c r="Q26" i="4"/>
  <c r="Q52" i="4" s="1"/>
  <c r="Q82" i="4" s="1"/>
  <c r="Q45" i="11"/>
  <c r="Q46" i="11" s="1"/>
  <c r="R49" i="4"/>
  <c r="R43" i="11"/>
  <c r="R44" i="11" l="1"/>
  <c r="Q28" i="4"/>
  <c r="R26" i="4"/>
  <c r="R45" i="11"/>
  <c r="R46" i="11" s="1"/>
  <c r="Q83" i="4"/>
  <c r="R28" i="4" l="1"/>
  <c r="R83" i="4"/>
  <c r="R52" i="4"/>
  <c r="R82" i="4" s="1"/>
  <c r="L50" i="4" l="1"/>
  <c r="E69" i="11" s="1"/>
  <c r="L18" i="4" l="1"/>
  <c r="L71" i="4"/>
  <c r="L51" i="4"/>
  <c r="E66" i="11" s="1"/>
  <c r="E68" i="11" s="1"/>
  <c r="E74" i="11" s="1"/>
  <c r="E76" i="11" s="1"/>
  <c r="L47" i="11" l="1"/>
  <c r="M50" i="4"/>
  <c r="F69" i="11" s="1"/>
  <c r="L69" i="4"/>
  <c r="L54" i="4"/>
  <c r="L48" i="11" l="1"/>
  <c r="H9" i="11"/>
  <c r="L55" i="11"/>
  <c r="M71" i="4"/>
  <c r="M51" i="4"/>
  <c r="F66" i="11" s="1"/>
  <c r="F68" i="11" s="1"/>
  <c r="F74" i="11" s="1"/>
  <c r="F76" i="11" s="1"/>
  <c r="M18" i="4"/>
  <c r="L55" i="4"/>
  <c r="L72" i="4" s="1"/>
  <c r="L75" i="4" s="1"/>
  <c r="M47" i="11" l="1"/>
  <c r="N50" i="4"/>
  <c r="G69" i="11" s="1"/>
  <c r="M69" i="4"/>
  <c r="M54" i="4"/>
  <c r="L56" i="4"/>
  <c r="L49" i="11" s="1"/>
  <c r="M48" i="11" l="1"/>
  <c r="H10" i="11"/>
  <c r="L50" i="11"/>
  <c r="H15" i="11"/>
  <c r="M55" i="11"/>
  <c r="N71" i="4"/>
  <c r="N51" i="4"/>
  <c r="G66" i="11" s="1"/>
  <c r="G68" i="11" s="1"/>
  <c r="G74" i="11" s="1"/>
  <c r="G76" i="11" s="1"/>
  <c r="M55" i="4"/>
  <c r="M72" i="4" s="1"/>
  <c r="M75" i="4" s="1"/>
  <c r="N18" i="4"/>
  <c r="L59" i="4"/>
  <c r="E78" i="11" s="1"/>
  <c r="E80" i="11" s="1"/>
  <c r="L85" i="4"/>
  <c r="L64" i="4"/>
  <c r="L86" i="4"/>
  <c r="N47" i="11" l="1"/>
  <c r="M56" i="4"/>
  <c r="N69" i="4"/>
  <c r="N54" i="4"/>
  <c r="O50" i="4"/>
  <c r="H69" i="11" s="1"/>
  <c r="L89" i="4"/>
  <c r="L36" i="4"/>
  <c r="L58" i="4"/>
  <c r="N48" i="11" l="1"/>
  <c r="H11" i="11"/>
  <c r="L65" i="4"/>
  <c r="L61" i="4"/>
  <c r="L62" i="4" s="1"/>
  <c r="N55" i="11"/>
  <c r="O18" i="4"/>
  <c r="P50" i="4" s="1"/>
  <c r="I69" i="11" s="1"/>
  <c r="M85" i="4"/>
  <c r="M49" i="11"/>
  <c r="M59" i="4"/>
  <c r="M86" i="4"/>
  <c r="M64" i="4"/>
  <c r="O71" i="4"/>
  <c r="O51" i="4"/>
  <c r="H66" i="11" s="1"/>
  <c r="H68" i="11" s="1"/>
  <c r="H74" i="11" s="1"/>
  <c r="H76" i="11" s="1"/>
  <c r="N55" i="4"/>
  <c r="N72" i="4" s="1"/>
  <c r="N75" i="4" s="1"/>
  <c r="L92" i="4"/>
  <c r="L95" i="4" s="1"/>
  <c r="L33" i="4"/>
  <c r="M58" i="4" l="1"/>
  <c r="M61" i="4" s="1"/>
  <c r="M62" i="4" s="1"/>
  <c r="M52" i="11" s="1"/>
  <c r="M53" i="11" s="1"/>
  <c r="F78" i="11"/>
  <c r="F80" i="11" s="1"/>
  <c r="M50" i="11"/>
  <c r="H16" i="11"/>
  <c r="M89" i="4"/>
  <c r="M92" i="4" s="1"/>
  <c r="O47" i="11"/>
  <c r="O55" i="11" s="1"/>
  <c r="P18" i="4"/>
  <c r="Q50" i="4" s="1"/>
  <c r="L52" i="11"/>
  <c r="N56" i="4"/>
  <c r="M36" i="4"/>
  <c r="O54" i="4"/>
  <c r="O69" i="4"/>
  <c r="P51" i="4"/>
  <c r="I66" i="11" s="1"/>
  <c r="P71" i="4"/>
  <c r="L12" i="4"/>
  <c r="M91" i="4"/>
  <c r="L35" i="4"/>
  <c r="L38" i="4" s="1"/>
  <c r="Q18" i="4" l="1"/>
  <c r="R50" i="4" s="1"/>
  <c r="J69" i="11"/>
  <c r="I68" i="11"/>
  <c r="I74" i="11" s="1"/>
  <c r="I76" i="11" s="1"/>
  <c r="M65" i="4"/>
  <c r="M33" i="4"/>
  <c r="M35" i="4" s="1"/>
  <c r="M38" i="4" s="1"/>
  <c r="O48" i="11"/>
  <c r="M95" i="4"/>
  <c r="N91" i="4" s="1"/>
  <c r="P47" i="11"/>
  <c r="P55" i="11" s="1"/>
  <c r="L53" i="11"/>
  <c r="L58" i="11"/>
  <c r="L59" i="11" s="1"/>
  <c r="M58" i="11"/>
  <c r="M59" i="11" s="1"/>
  <c r="N59" i="4"/>
  <c r="N49" i="11"/>
  <c r="N86" i="4"/>
  <c r="N85" i="4"/>
  <c r="N64" i="4"/>
  <c r="P54" i="4"/>
  <c r="P69" i="4"/>
  <c r="Q71" i="4"/>
  <c r="Q51" i="4"/>
  <c r="O55" i="4"/>
  <c r="O72" i="4" s="1"/>
  <c r="O75" i="4" s="1"/>
  <c r="L97" i="4"/>
  <c r="L98" i="4" s="1"/>
  <c r="L20" i="4"/>
  <c r="L30" i="4" s="1"/>
  <c r="L40" i="4" s="1"/>
  <c r="Q47" i="11" l="1"/>
  <c r="Q48" i="11" s="1"/>
  <c r="J66" i="11"/>
  <c r="J68" i="11" s="1"/>
  <c r="J74" i="11" s="1"/>
  <c r="J76" i="11" s="1"/>
  <c r="R18" i="4"/>
  <c r="K69" i="11"/>
  <c r="N58" i="4"/>
  <c r="N61" i="4" s="1"/>
  <c r="N62" i="4" s="1"/>
  <c r="N52" i="11" s="1"/>
  <c r="N53" i="11" s="1"/>
  <c r="G78" i="11"/>
  <c r="G80" i="11" s="1"/>
  <c r="N50" i="11"/>
  <c r="H17" i="11"/>
  <c r="P48" i="11"/>
  <c r="M12" i="4"/>
  <c r="M20" i="4" s="1"/>
  <c r="M30" i="4" s="1"/>
  <c r="M40" i="4" s="1"/>
  <c r="N89" i="4"/>
  <c r="N92" i="4" s="1"/>
  <c r="N95" i="4" s="1"/>
  <c r="N12" i="4" s="1"/>
  <c r="N36" i="4"/>
  <c r="O56" i="4"/>
  <c r="R51" i="4"/>
  <c r="R71" i="4"/>
  <c r="Q54" i="4"/>
  <c r="Q69" i="4"/>
  <c r="P55" i="4"/>
  <c r="P72" i="4" s="1"/>
  <c r="P75" i="4" s="1"/>
  <c r="Q55" i="11" l="1"/>
  <c r="R47" i="11"/>
  <c r="R48" i="11" s="1"/>
  <c r="K66" i="11"/>
  <c r="N65" i="4"/>
  <c r="N33" i="4"/>
  <c r="N35" i="4" s="1"/>
  <c r="N38" i="4" s="1"/>
  <c r="M97" i="4"/>
  <c r="M98" i="4" s="1"/>
  <c r="N58" i="11"/>
  <c r="N59" i="11" s="1"/>
  <c r="O85" i="4"/>
  <c r="O49" i="11"/>
  <c r="O50" i="11" s="1"/>
  <c r="O91" i="4"/>
  <c r="O86" i="4"/>
  <c r="O64" i="4"/>
  <c r="O59" i="4"/>
  <c r="P56" i="4"/>
  <c r="R54" i="4"/>
  <c r="R69" i="4"/>
  <c r="Q55" i="4"/>
  <c r="Q72" i="4" s="1"/>
  <c r="Q75" i="4" s="1"/>
  <c r="N20" i="4"/>
  <c r="N30" i="4" s="1"/>
  <c r="N97" i="4"/>
  <c r="N98" i="4" s="1"/>
  <c r="K68" i="11" l="1"/>
  <c r="K74" i="11" s="1"/>
  <c r="K76" i="11" s="1"/>
  <c r="L66" i="11"/>
  <c r="L71" i="11" s="1"/>
  <c r="R55" i="11"/>
  <c r="O58" i="4"/>
  <c r="O61" i="4" s="1"/>
  <c r="O62" i="4" s="1"/>
  <c r="O52" i="11" s="1"/>
  <c r="O53" i="11" s="1"/>
  <c r="H78" i="11"/>
  <c r="H80" i="11" s="1"/>
  <c r="O89" i="4"/>
  <c r="O92" i="4" s="1"/>
  <c r="O95" i="4" s="1"/>
  <c r="P91" i="4" s="1"/>
  <c r="P59" i="4"/>
  <c r="P49" i="11"/>
  <c r="P50" i="11" s="1"/>
  <c r="N40" i="4"/>
  <c r="P86" i="4"/>
  <c r="P85" i="4"/>
  <c r="O36" i="4"/>
  <c r="P64" i="4"/>
  <c r="Q56" i="4"/>
  <c r="R55" i="4"/>
  <c r="R72" i="4" s="1"/>
  <c r="R75" i="4" s="1"/>
  <c r="L68" i="11" l="1"/>
  <c r="L69" i="11"/>
  <c r="L70" i="11"/>
  <c r="O65" i="4"/>
  <c r="E7" i="6" s="1"/>
  <c r="O33" i="4"/>
  <c r="O35" i="4" s="1"/>
  <c r="O38" i="4" s="1"/>
  <c r="P58" i="4"/>
  <c r="P61" i="4" s="1"/>
  <c r="P62" i="4" s="1"/>
  <c r="P52" i="11" s="1"/>
  <c r="P53" i="11" s="1"/>
  <c r="I78" i="11"/>
  <c r="O58" i="11"/>
  <c r="O59" i="11" s="1"/>
  <c r="Q85" i="4"/>
  <c r="Q49" i="11"/>
  <c r="Q50" i="11" s="1"/>
  <c r="P89" i="4"/>
  <c r="P92" i="4" s="1"/>
  <c r="P95" i="4" s="1"/>
  <c r="Q91" i="4" s="1"/>
  <c r="P36" i="4"/>
  <c r="O12" i="4"/>
  <c r="O20" i="4" s="1"/>
  <c r="O30" i="4" s="1"/>
  <c r="Q86" i="4"/>
  <c r="Q59" i="4"/>
  <c r="R56" i="4"/>
  <c r="Q64" i="4"/>
  <c r="L74" i="11" l="1"/>
  <c r="L75" i="11" s="1"/>
  <c r="L76" i="11" s="1"/>
  <c r="D83" i="11" s="1"/>
  <c r="D88" i="11" s="1"/>
  <c r="Q58" i="4"/>
  <c r="Q61" i="4" s="1"/>
  <c r="Q62" i="4" s="1"/>
  <c r="Q52" i="11" s="1"/>
  <c r="J78" i="11"/>
  <c r="J80" i="11" s="1"/>
  <c r="I80" i="11"/>
  <c r="L78" i="11"/>
  <c r="L79" i="11" s="1"/>
  <c r="L80" i="11" s="1"/>
  <c r="P65" i="4"/>
  <c r="P33" i="4"/>
  <c r="P35" i="4" s="1"/>
  <c r="P38" i="4" s="1"/>
  <c r="P58" i="11"/>
  <c r="P59" i="11" s="1"/>
  <c r="Q89" i="4"/>
  <c r="Q92" i="4" s="1"/>
  <c r="Q95" i="4" s="1"/>
  <c r="Q12" i="4" s="1"/>
  <c r="R86" i="4"/>
  <c r="R49" i="11"/>
  <c r="R50" i="11" s="1"/>
  <c r="P12" i="4"/>
  <c r="P97" i="4" s="1"/>
  <c r="P98" i="4" s="1"/>
  <c r="O40" i="4"/>
  <c r="E6" i="6" s="1"/>
  <c r="O97" i="4"/>
  <c r="O98" i="4" s="1"/>
  <c r="E8" i="6" s="1"/>
  <c r="Q36" i="4"/>
  <c r="R64" i="4"/>
  <c r="R59" i="4"/>
  <c r="R85" i="4"/>
  <c r="Q65" i="4" l="1"/>
  <c r="R58" i="4"/>
  <c r="R65" i="4" s="1"/>
  <c r="K78" i="11"/>
  <c r="K80" i="11" s="1"/>
  <c r="D89" i="11" s="1"/>
  <c r="Q33" i="4"/>
  <c r="Q35" i="4" s="1"/>
  <c r="Q38" i="4" s="1"/>
  <c r="Q53" i="11"/>
  <c r="Q58" i="11"/>
  <c r="Q59" i="11" s="1"/>
  <c r="R89" i="4"/>
  <c r="R92" i="4" s="1"/>
  <c r="P20" i="4"/>
  <c r="P30" i="4" s="1"/>
  <c r="P40" i="4" s="1"/>
  <c r="E10" i="6"/>
  <c r="R91" i="4"/>
  <c r="R36" i="4"/>
  <c r="Q20" i="4"/>
  <c r="Q30" i="4" s="1"/>
  <c r="Q97" i="4"/>
  <c r="Q98" i="4" s="1"/>
  <c r="R61" i="4" l="1"/>
  <c r="R62" i="4" s="1"/>
  <c r="R52" i="11" s="1"/>
  <c r="R53" i="11" s="1"/>
  <c r="D90" i="11"/>
  <c r="D92" i="11" s="1"/>
  <c r="H85" i="11" s="1"/>
  <c r="R33" i="4"/>
  <c r="R35" i="4" s="1"/>
  <c r="R38" i="4" s="1"/>
  <c r="B3" i="1"/>
  <c r="B3" i="12"/>
  <c r="R95" i="4"/>
  <c r="R12" i="4" s="1"/>
  <c r="R97" i="4" s="1"/>
  <c r="R98" i="4" s="1"/>
  <c r="B3" i="4"/>
  <c r="B3" i="11"/>
  <c r="B3" i="6"/>
  <c r="Q40" i="4"/>
  <c r="R58" i="11" l="1"/>
  <c r="R59" i="11" s="1"/>
  <c r="H86" i="11"/>
  <c r="H84" i="11"/>
  <c r="R20" i="4"/>
  <c r="R30" i="4" s="1"/>
  <c r="R40" i="4" s="1"/>
  <c r="G56" i="11" l="1"/>
  <c r="Q56" i="11"/>
  <c r="P56" i="11"/>
  <c r="F56" i="11"/>
  <c r="I56" i="11"/>
  <c r="E56" i="11"/>
  <c r="J56" i="11"/>
  <c r="O56" i="11"/>
  <c r="R56" i="11"/>
  <c r="N56" i="11"/>
  <c r="L56" i="11"/>
  <c r="K56" i="11"/>
  <c r="M56" i="11"/>
  <c r="H56" i="11"/>
  <c r="D16" i="11" l="1"/>
  <c r="D17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Moss</author>
  </authors>
  <commentList>
    <comment ref="E10" authorId="0" shapeId="0" xr:uid="{B50D12CF-7423-46FB-9FE4-A79E00D8E050}">
      <text>
        <r>
          <rPr>
            <sz val="9"/>
            <color indexed="81"/>
            <rFont val="Tahoma"/>
            <family val="2"/>
          </rPr>
          <t>https://www.marketwatch.com/investing/bond/tmbmkgb-20y?countrycode=bx</t>
        </r>
      </text>
    </comment>
    <comment ref="E11" authorId="0" shapeId="0" xr:uid="{C18BD819-1337-4F6A-A2B7-FD7FA25CEEF5}">
      <text>
        <r>
          <rPr>
            <sz val="9"/>
            <color indexed="81"/>
            <rFont val="Tahoma"/>
            <family val="2"/>
          </rPr>
          <t>https://pages.stern.nyu.edu/~adamodar/New_Home_Page/datafile/ctryprem.html</t>
        </r>
      </text>
    </comment>
    <comment ref="E18" authorId="0" shapeId="0" xr:uid="{DD8E3227-1687-456B-B4E4-B05D8AF036CD}">
      <text>
        <r>
          <rPr>
            <b/>
            <sz val="9"/>
            <color indexed="81"/>
            <rFont val="Tahoma"/>
            <family val="2"/>
          </rPr>
          <t>https://aswathdamodaran.blogspot.com/2015/04/the-small-cap-premium-fact-fiction-and.html</t>
        </r>
      </text>
    </comment>
  </commentList>
</comments>
</file>

<file path=xl/sharedStrings.xml><?xml version="1.0" encoding="utf-8"?>
<sst xmlns="http://schemas.openxmlformats.org/spreadsheetml/2006/main" count="225" uniqueCount="198">
  <si>
    <t>Company name</t>
  </si>
  <si>
    <t>Ticker</t>
  </si>
  <si>
    <t>MODEL STRUCTURE</t>
  </si>
  <si>
    <t>Currency</t>
  </si>
  <si>
    <t>£m</t>
  </si>
  <si>
    <t>Company information</t>
  </si>
  <si>
    <t>Calendar</t>
  </si>
  <si>
    <t>Model date</t>
  </si>
  <si>
    <t>Q1 trading update</t>
  </si>
  <si>
    <t>Q3 trading update</t>
  </si>
  <si>
    <t>Full year results</t>
  </si>
  <si>
    <t>Half year results</t>
  </si>
  <si>
    <t>Reporting</t>
  </si>
  <si>
    <t>date</t>
  </si>
  <si>
    <t>Results</t>
  </si>
  <si>
    <t>FINANCIALS</t>
  </si>
  <si>
    <t>Cash</t>
  </si>
  <si>
    <t>Inventory</t>
  </si>
  <si>
    <t>Date</t>
  </si>
  <si>
    <t>Trade &amp; other receivables</t>
  </si>
  <si>
    <t>Current tax assets</t>
  </si>
  <si>
    <t>Other non-operating assets</t>
  </si>
  <si>
    <t>Deferred tax assets</t>
  </si>
  <si>
    <t>Total assets</t>
  </si>
  <si>
    <t>Investment in associates/JVs</t>
  </si>
  <si>
    <t>Total liabilities</t>
  </si>
  <si>
    <t>Borrowings</t>
  </si>
  <si>
    <t>Trade &amp; other payables</t>
  </si>
  <si>
    <t>Provisions</t>
  </si>
  <si>
    <t>Current tax liabilities</t>
  </si>
  <si>
    <t>Deferred tax liabilities</t>
  </si>
  <si>
    <t>Net assets</t>
  </si>
  <si>
    <t>Share capital &amp; share premium</t>
  </si>
  <si>
    <t>Retained earnings</t>
  </si>
  <si>
    <t>Reserves</t>
  </si>
  <si>
    <t>Equity attributable to shareholders</t>
  </si>
  <si>
    <t>Non-controlling interest</t>
  </si>
  <si>
    <t>Total equity</t>
  </si>
  <si>
    <t>Check</t>
  </si>
  <si>
    <t>CHECKS</t>
  </si>
  <si>
    <t>Financials - BS</t>
  </si>
  <si>
    <t>Financials - PnL</t>
  </si>
  <si>
    <t>Financials - CF</t>
  </si>
  <si>
    <t>Other non-operating liabilities</t>
  </si>
  <si>
    <t>Last HY results available</t>
  </si>
  <si>
    <t>P&amp;L</t>
  </si>
  <si>
    <t>BALANCE SHEET</t>
  </si>
  <si>
    <t>Revenue</t>
  </si>
  <si>
    <t>Cost of sales</t>
  </si>
  <si>
    <t>Gross profit</t>
  </si>
  <si>
    <t>Admin expenses exc. D&amp;A</t>
  </si>
  <si>
    <t>EBITDA</t>
  </si>
  <si>
    <t>Depreciation &amp; Amortisation</t>
  </si>
  <si>
    <t>EBIT</t>
  </si>
  <si>
    <t>Profit before tax</t>
  </si>
  <si>
    <t>Tax</t>
  </si>
  <si>
    <t>Profit for the period</t>
  </si>
  <si>
    <t>Expected value</t>
  </si>
  <si>
    <t>Months in period</t>
  </si>
  <si>
    <t>Profit attributable to shareholders</t>
  </si>
  <si>
    <t>Profit attributable to NCI</t>
  </si>
  <si>
    <t>Distribution, advertising and selling costs</t>
  </si>
  <si>
    <t>Interest expense</t>
  </si>
  <si>
    <t>Other investment income/expense</t>
  </si>
  <si>
    <t>Basic EPS (pence)</t>
  </si>
  <si>
    <t>Diluted EPS (pence)</t>
  </si>
  <si>
    <t>CASHFLOW</t>
  </si>
  <si>
    <t>Cash generated from operations</t>
  </si>
  <si>
    <t>Cash used in investing activities</t>
  </si>
  <si>
    <t>Cash used in financing activities</t>
  </si>
  <si>
    <t>Opening cash balance</t>
  </si>
  <si>
    <t>Closing cash balance</t>
  </si>
  <si>
    <t>FX impact on cash</t>
  </si>
  <si>
    <t>Net increase/decrease in cash</t>
  </si>
  <si>
    <t>Other</t>
  </si>
  <si>
    <t>Operating profit</t>
  </si>
  <si>
    <t>Change in NWC</t>
  </si>
  <si>
    <t>Depreciation &amp; amortisation</t>
  </si>
  <si>
    <t>Tax paid</t>
  </si>
  <si>
    <t>Sale of PPE &amp; Intangibles</t>
  </si>
  <si>
    <t>Sale of subsidiaries</t>
  </si>
  <si>
    <t>Acquisitions</t>
  </si>
  <si>
    <t>Interest paid</t>
  </si>
  <si>
    <t>Change in borrowings</t>
  </si>
  <si>
    <t>Share buyback</t>
  </si>
  <si>
    <t>Dividends to NCI</t>
  </si>
  <si>
    <t>Dividends to shareholders</t>
  </si>
  <si>
    <t>Gross profit margin %</t>
  </si>
  <si>
    <t>Revenue growth YoY %</t>
  </si>
  <si>
    <t>Expenses (as % revenue)</t>
  </si>
  <si>
    <t>Interest expense (as % borrowings)</t>
  </si>
  <si>
    <t>Effective tax rate %</t>
  </si>
  <si>
    <t>Depreciation &amp; amortisation (as % y-1 NCA)</t>
  </si>
  <si>
    <t>Inventory days</t>
  </si>
  <si>
    <t>Receivables days</t>
  </si>
  <si>
    <t>Payables days</t>
  </si>
  <si>
    <t>EBITDA leverage ratio</t>
  </si>
  <si>
    <t>Dividend payout ratio %</t>
  </si>
  <si>
    <t>Profit share to NCI</t>
  </si>
  <si>
    <t>CAPEX spend</t>
  </si>
  <si>
    <t>WACC</t>
  </si>
  <si>
    <t>Unlevered Beta</t>
  </si>
  <si>
    <t>D/E Ratio</t>
  </si>
  <si>
    <t>Tax Rate</t>
  </si>
  <si>
    <t>Levered Beta</t>
  </si>
  <si>
    <t>Rf</t>
  </si>
  <si>
    <t>ERP</t>
  </si>
  <si>
    <t>Small Cap Premum</t>
  </si>
  <si>
    <t>Ke</t>
  </si>
  <si>
    <t>Selected Ke</t>
  </si>
  <si>
    <t>Kd</t>
  </si>
  <si>
    <t>Post-tax Kd</t>
  </si>
  <si>
    <t>Selected WACC</t>
  </si>
  <si>
    <t>Risk free rate</t>
  </si>
  <si>
    <t>Equity risk premium</t>
  </si>
  <si>
    <t>Market capitalisation (£m)</t>
  </si>
  <si>
    <t>Cost of debt</t>
  </si>
  <si>
    <t>Discount Rate</t>
  </si>
  <si>
    <t>Perpetural Growth Rate</t>
  </si>
  <si>
    <t>Valuation Date</t>
  </si>
  <si>
    <t>Shares Outstanding</t>
  </si>
  <si>
    <t>Entry</t>
  </si>
  <si>
    <t>Terminal</t>
  </si>
  <si>
    <t>Year Fraction</t>
  </si>
  <si>
    <t>Less: Cash Taxes</t>
  </si>
  <si>
    <t>Plus: D&amp;A</t>
  </si>
  <si>
    <t>Less: Capex</t>
  </si>
  <si>
    <t>Less: Changes in NWC</t>
  </si>
  <si>
    <t>Market Value vs Intrinsic Value</t>
  </si>
  <si>
    <t>Unlevered FCF</t>
  </si>
  <si>
    <t>Market Value</t>
  </si>
  <si>
    <t>Intrinsic Value</t>
  </si>
  <si>
    <t>Enterprise Value</t>
  </si>
  <si>
    <t>Less: net debt</t>
  </si>
  <si>
    <t>Equity Value</t>
  </si>
  <si>
    <t>Equity Value/Share</t>
  </si>
  <si>
    <t>Inputs</t>
  </si>
  <si>
    <t>Tax rate for WACC</t>
  </si>
  <si>
    <t>Unlevered beta - low</t>
  </si>
  <si>
    <t>Unlevered beta - high</t>
  </si>
  <si>
    <t>Small cap premium</t>
  </si>
  <si>
    <t>Balance sheet date</t>
  </si>
  <si>
    <t>Terminal value</t>
  </si>
  <si>
    <t>Discounted cashflow</t>
  </si>
  <si>
    <t>Upside (p)</t>
  </si>
  <si>
    <t>Upside %</t>
  </si>
  <si>
    <t>30% margin of safety point</t>
  </si>
  <si>
    <t>Valuation date</t>
  </si>
  <si>
    <t>Perpetual bonds</t>
  </si>
  <si>
    <t>Dividends from associates</t>
  </si>
  <si>
    <t>Purchase of PPE &amp; intangibles</t>
  </si>
  <si>
    <t>Coupon paid on perpetual bond</t>
  </si>
  <si>
    <t>BS ROIC %</t>
  </si>
  <si>
    <t>Mcap ROIC %</t>
  </si>
  <si>
    <t>Add: non-operating assets</t>
  </si>
  <si>
    <t>Less: non-operating liabilities</t>
  </si>
  <si>
    <t>Coupon to pref shares</t>
  </si>
  <si>
    <t>Value to NCI</t>
  </si>
  <si>
    <t>Shareholder value</t>
  </si>
  <si>
    <t>Anexo Group Plc</t>
  </si>
  <si>
    <t>LSE:ANX</t>
  </si>
  <si>
    <t>Time period fraction</t>
  </si>
  <si>
    <t>PPE &amp; intangibles</t>
  </si>
  <si>
    <t>Share price (p)</t>
  </si>
  <si>
    <t>Other adj. to equity value</t>
  </si>
  <si>
    <t>Current Price (p)</t>
  </si>
  <si>
    <t>SUMMARY</t>
  </si>
  <si>
    <t>DISCOUNT RATE</t>
  </si>
  <si>
    <t>GP Margin %</t>
  </si>
  <si>
    <t>Net profit margin %</t>
  </si>
  <si>
    <t>EBITDA margin %</t>
  </si>
  <si>
    <t>Diluted EPS</t>
  </si>
  <si>
    <t>Price to earnings ratio</t>
  </si>
  <si>
    <t>FCFF per share</t>
  </si>
  <si>
    <t>EBIT margin %</t>
  </si>
  <si>
    <t>Price to FCFF ratio</t>
  </si>
  <si>
    <t>EV to EBIT ratio - actual</t>
  </si>
  <si>
    <t>EV to EBIT ratio - implied by valuation</t>
  </si>
  <si>
    <t>Margin of safety</t>
  </si>
  <si>
    <t>Current share price</t>
  </si>
  <si>
    <t>Tax rate</t>
  </si>
  <si>
    <t>DCF equity value per share</t>
  </si>
  <si>
    <t>Multiples</t>
  </si>
  <si>
    <t>EV/EBITDA (Current)</t>
  </si>
  <si>
    <t>EV/EBITDA (Y+2)</t>
  </si>
  <si>
    <t>EV/EBITDA (Y+1)</t>
  </si>
  <si>
    <t>EV/EBIT (Y+2)</t>
  </si>
  <si>
    <t>EV/EBIT (Y+1)</t>
  </si>
  <si>
    <t>EV/EBIT (Current)</t>
  </si>
  <si>
    <t>P/E (Current)</t>
  </si>
  <si>
    <t>P/E (Y+1)</t>
  </si>
  <si>
    <t>P/E (Y+2)</t>
  </si>
  <si>
    <t>QUANT VALUE INVESTING</t>
  </si>
  <si>
    <t>METRICS</t>
  </si>
  <si>
    <t>SUMMARY FINANCIALS</t>
  </si>
  <si>
    <t>Discounted value to NCI</t>
  </si>
  <si>
    <t>Terminal NCI value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</si>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</sst>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#,##0;&quot;(&quot;#,##0&quot;)&quot;"/>
    <numFmt numFmtId="166" formatCode="#,##0.0;&quot;(&quot;#,##0.0&quot;)&quot;"/>
    <numFmt numFmtId="167" formatCode="0.0%"/>
    <numFmt numFmtId="168" formatCode="0.0&quot;x&quot;"/>
    <numFmt numFmtId="169" formatCode="0.00&quot;x&quot;"/>
    <numFmt numFmtId="170" formatCode="_-* #,##0.0_-;\-* #,##0.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i/>
      <sz val="26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6" borderId="0"/>
  </cellStyleXfs>
  <cellXfs count="89">
    <xf numFmtId="0" fontId="0" fillId="0" borderId="0" xfId="0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right"/>
    </xf>
    <xf numFmtId="0" fontId="2" fillId="4" borderId="0" xfId="0" applyFont="1" applyFill="1" applyAlignment="1">
      <alignment horizontal="right"/>
    </xf>
    <xf numFmtId="0" fontId="0" fillId="2" borderId="2" xfId="1" applyFont="1" applyBorder="1"/>
    <xf numFmtId="14" fontId="0" fillId="2" borderId="2" xfId="1" applyNumberFormat="1" applyFont="1" applyBorder="1"/>
    <xf numFmtId="0" fontId="0" fillId="3" borderId="0" xfId="0" applyFill="1" applyAlignment="1">
      <alignment horizontal="right"/>
    </xf>
    <xf numFmtId="0" fontId="0" fillId="2" borderId="3" xfId="1" applyFont="1" applyBorder="1" applyAlignment="1">
      <alignment horizontal="right"/>
    </xf>
    <xf numFmtId="14" fontId="0" fillId="2" borderId="3" xfId="1" applyNumberFormat="1" applyFont="1" applyBorder="1" applyAlignment="1">
      <alignment horizontal="right"/>
    </xf>
    <xf numFmtId="16" fontId="0" fillId="2" borderId="1" xfId="1" applyNumberFormat="1" applyFont="1"/>
    <xf numFmtId="16" fontId="0" fillId="3" borderId="1" xfId="1" applyNumberFormat="1" applyFont="1" applyFill="1"/>
    <xf numFmtId="0" fontId="0" fillId="3" borderId="4" xfId="0" applyFill="1" applyBorder="1" applyAlignment="1">
      <alignment horizontal="right"/>
    </xf>
    <xf numFmtId="0" fontId="3" fillId="3" borderId="4" xfId="0" applyFont="1" applyFill="1" applyBorder="1"/>
    <xf numFmtId="0" fontId="0" fillId="3" borderId="4" xfId="0" applyFill="1" applyBorder="1"/>
    <xf numFmtId="14" fontId="0" fillId="3" borderId="0" xfId="0" applyNumberFormat="1" applyFill="1"/>
    <xf numFmtId="0" fontId="4" fillId="3" borderId="5" xfId="0" applyFont="1" applyFill="1" applyBorder="1"/>
    <xf numFmtId="43" fontId="0" fillId="3" borderId="0" xfId="2" applyFont="1" applyFill="1"/>
    <xf numFmtId="164" fontId="0" fillId="3" borderId="0" xfId="2" applyNumberFormat="1" applyFont="1" applyFill="1"/>
    <xf numFmtId="164" fontId="0" fillId="3" borderId="0" xfId="2" applyNumberFormat="1" applyFont="1" applyFill="1" applyAlignment="1">
      <alignment horizontal="right"/>
    </xf>
    <xf numFmtId="0" fontId="5" fillId="3" borderId="0" xfId="0" applyFont="1" applyFill="1"/>
    <xf numFmtId="0" fontId="7" fillId="3" borderId="0" xfId="0" applyFont="1" applyFill="1" applyAlignment="1">
      <alignment horizontal="right"/>
    </xf>
    <xf numFmtId="165" fontId="6" fillId="3" borderId="0" xfId="2" applyNumberFormat="1" applyFont="1" applyFill="1" applyAlignment="1">
      <alignment horizontal="right"/>
    </xf>
    <xf numFmtId="165" fontId="0" fillId="3" borderId="0" xfId="2" applyNumberFormat="1" applyFont="1" applyFill="1"/>
    <xf numFmtId="0" fontId="8" fillId="3" borderId="0" xfId="0" applyFont="1" applyFill="1"/>
    <xf numFmtId="165" fontId="0" fillId="3" borderId="5" xfId="2" applyNumberFormat="1" applyFont="1" applyFill="1" applyBorder="1"/>
    <xf numFmtId="14" fontId="0" fillId="3" borderId="0" xfId="1" applyNumberFormat="1" applyFont="1" applyFill="1" applyBorder="1"/>
    <xf numFmtId="14" fontId="0" fillId="3" borderId="0" xfId="1" applyNumberFormat="1" applyFont="1" applyFill="1" applyBorder="1" applyAlignment="1">
      <alignment horizontal="right"/>
    </xf>
    <xf numFmtId="164" fontId="9" fillId="5" borderId="0" xfId="2" applyNumberFormat="1" applyFont="1" applyFill="1"/>
    <xf numFmtId="166" fontId="0" fillId="3" borderId="0" xfId="2" applyNumberFormat="1" applyFont="1" applyFill="1"/>
    <xf numFmtId="167" fontId="0" fillId="3" borderId="0" xfId="3" applyNumberFormat="1" applyFont="1" applyFill="1"/>
    <xf numFmtId="166" fontId="6" fillId="3" borderId="0" xfId="2" applyNumberFormat="1" applyFont="1" applyFill="1" applyAlignment="1">
      <alignment horizontal="right"/>
    </xf>
    <xf numFmtId="43" fontId="0" fillId="0" borderId="1" xfId="2" applyFont="1" applyFill="1" applyBorder="1"/>
    <xf numFmtId="10" fontId="0" fillId="0" borderId="1" xfId="3" applyNumberFormat="1" applyFont="1" applyFill="1" applyBorder="1"/>
    <xf numFmtId="10" fontId="0" fillId="3" borderId="0" xfId="0" applyNumberFormat="1" applyFill="1"/>
    <xf numFmtId="43" fontId="0" fillId="3" borderId="1" xfId="2" applyFont="1" applyFill="1" applyBorder="1"/>
    <xf numFmtId="10" fontId="0" fillId="3" borderId="1" xfId="1" applyNumberFormat="1" applyFont="1" applyFill="1"/>
    <xf numFmtId="2" fontId="0" fillId="3" borderId="0" xfId="0" applyNumberFormat="1" applyFill="1"/>
    <xf numFmtId="164" fontId="0" fillId="3" borderId="0" xfId="0" applyNumberFormat="1" applyFill="1"/>
    <xf numFmtId="0" fontId="4" fillId="3" borderId="0" xfId="0" applyFont="1" applyFill="1"/>
    <xf numFmtId="164" fontId="4" fillId="3" borderId="0" xfId="2" applyNumberFormat="1" applyFont="1" applyFill="1"/>
    <xf numFmtId="10" fontId="0" fillId="3" borderId="1" xfId="3" applyNumberFormat="1" applyFont="1" applyFill="1" applyBorder="1"/>
    <xf numFmtId="43" fontId="0" fillId="3" borderId="0" xfId="0" applyNumberFormat="1" applyFill="1"/>
    <xf numFmtId="0" fontId="10" fillId="3" borderId="0" xfId="0" applyFont="1" applyFill="1"/>
    <xf numFmtId="9" fontId="5" fillId="3" borderId="0" xfId="3" applyFont="1" applyFill="1"/>
    <xf numFmtId="165" fontId="0" fillId="3" borderId="0" xfId="2" applyNumberFormat="1" applyFont="1" applyFill="1" applyBorder="1"/>
    <xf numFmtId="9" fontId="5" fillId="3" borderId="0" xfId="3" applyFont="1" applyFill="1" applyBorder="1"/>
    <xf numFmtId="0" fontId="0" fillId="3" borderId="6" xfId="0" applyFill="1" applyBorder="1"/>
    <xf numFmtId="165" fontId="0" fillId="3" borderId="6" xfId="2" applyNumberFormat="1" applyFont="1" applyFill="1" applyBorder="1"/>
    <xf numFmtId="0" fontId="5" fillId="3" borderId="6" xfId="0" applyFont="1" applyFill="1" applyBorder="1"/>
    <xf numFmtId="9" fontId="5" fillId="3" borderId="6" xfId="3" applyFont="1" applyFill="1" applyBorder="1"/>
    <xf numFmtId="165" fontId="0" fillId="6" borderId="6" xfId="2" applyNumberFormat="1" applyFont="1" applyFill="1" applyBorder="1"/>
    <xf numFmtId="165" fontId="0" fillId="6" borderId="0" xfId="2" applyNumberFormat="1" applyFont="1" applyFill="1" applyBorder="1"/>
    <xf numFmtId="9" fontId="5" fillId="6" borderId="6" xfId="3" applyFont="1" applyFill="1" applyBorder="1"/>
    <xf numFmtId="9" fontId="5" fillId="6" borderId="0" xfId="3" applyFont="1" applyFill="1" applyBorder="1"/>
    <xf numFmtId="167" fontId="0" fillId="6" borderId="0" xfId="3" applyNumberFormat="1" applyFont="1" applyFill="1"/>
    <xf numFmtId="9" fontId="0" fillId="6" borderId="0" xfId="3" applyFont="1" applyFill="1"/>
    <xf numFmtId="164" fontId="0" fillId="6" borderId="0" xfId="2" applyNumberFormat="1" applyFont="1" applyFill="1"/>
    <xf numFmtId="168" fontId="0" fillId="6" borderId="0" xfId="2" applyNumberFormat="1" applyFont="1" applyFill="1"/>
    <xf numFmtId="0" fontId="0" fillId="6" borderId="0" xfId="0" applyFill="1" applyAlignment="1">
      <alignment horizontal="right"/>
    </xf>
    <xf numFmtId="0" fontId="0" fillId="6" borderId="0" xfId="0" applyFill="1"/>
    <xf numFmtId="0" fontId="13" fillId="3" borderId="0" xfId="0" applyFont="1" applyFill="1"/>
    <xf numFmtId="0" fontId="13" fillId="6" borderId="0" xfId="0" applyFont="1" applyFill="1" applyAlignment="1">
      <alignment horizontal="right"/>
    </xf>
    <xf numFmtId="168" fontId="13" fillId="6" borderId="0" xfId="4" applyFont="1"/>
    <xf numFmtId="168" fontId="13" fillId="3" borderId="0" xfId="4" applyFont="1" applyFill="1"/>
    <xf numFmtId="170" fontId="13" fillId="6" borderId="0" xfId="2" applyNumberFormat="1" applyFont="1" applyFill="1"/>
    <xf numFmtId="170" fontId="13" fillId="3" borderId="0" xfId="2" applyNumberFormat="1" applyFont="1" applyFill="1"/>
    <xf numFmtId="0" fontId="13" fillId="3" borderId="0" xfId="0" applyFont="1" applyFill="1" applyAlignment="1">
      <alignment horizontal="right"/>
    </xf>
    <xf numFmtId="10" fontId="13" fillId="3" borderId="0" xfId="0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right"/>
    </xf>
    <xf numFmtId="167" fontId="13" fillId="3" borderId="0" xfId="3" applyNumberFormat="1" applyFont="1" applyFill="1" applyAlignment="1">
      <alignment horizontal="right"/>
    </xf>
    <xf numFmtId="1" fontId="0" fillId="3" borderId="0" xfId="0" applyNumberFormat="1" applyFill="1"/>
    <xf numFmtId="165" fontId="0" fillId="6" borderId="0" xfId="2" applyNumberFormat="1" applyFont="1" applyFill="1"/>
    <xf numFmtId="165" fontId="0" fillId="6" borderId="5" xfId="2" applyNumberFormat="1" applyFont="1" applyFill="1" applyBorder="1"/>
    <xf numFmtId="165" fontId="6" fillId="6" borderId="0" xfId="2" applyNumberFormat="1" applyFont="1" applyFill="1" applyAlignment="1">
      <alignment horizontal="right"/>
    </xf>
    <xf numFmtId="166" fontId="0" fillId="6" borderId="0" xfId="2" applyNumberFormat="1" applyFont="1" applyFill="1"/>
    <xf numFmtId="166" fontId="6" fillId="6" borderId="0" xfId="2" applyNumberFormat="1" applyFont="1" applyFill="1" applyAlignment="1">
      <alignment horizontal="right"/>
    </xf>
    <xf numFmtId="169" fontId="5" fillId="3" borderId="0" xfId="2" applyNumberFormat="1" applyFont="1" applyFill="1"/>
    <xf numFmtId="10" fontId="0" fillId="2" borderId="1" xfId="3" applyNumberFormat="1" applyFont="1" applyFill="1" applyBorder="1" applyProtection="1">
      <protection locked="0"/>
    </xf>
    <xf numFmtId="164" fontId="0" fillId="2" borderId="1" xfId="2" applyNumberFormat="1" applyFont="1" applyFill="1" applyBorder="1" applyProtection="1">
      <protection locked="0"/>
    </xf>
    <xf numFmtId="167" fontId="0" fillId="3" borderId="0" xfId="3" applyNumberFormat="1" applyFont="1" applyFill="1" applyProtection="1">
      <protection locked="0"/>
    </xf>
    <xf numFmtId="164" fontId="0" fillId="3" borderId="0" xfId="2" applyNumberFormat="1" applyFont="1" applyFill="1" applyProtection="1">
      <protection locked="0"/>
    </xf>
    <xf numFmtId="168" fontId="0" fillId="3" borderId="0" xfId="2" applyNumberFormat="1" applyFont="1" applyFill="1" applyProtection="1">
      <protection locked="0"/>
    </xf>
    <xf numFmtId="9" fontId="0" fillId="3" borderId="0" xfId="3" applyFont="1" applyFill="1" applyProtection="1">
      <protection locked="0"/>
    </xf>
    <xf numFmtId="164" fontId="0" fillId="2" borderId="1" xfId="1" applyNumberFormat="1" applyFont="1" applyProtection="1">
      <protection locked="0"/>
    </xf>
    <xf numFmtId="10" fontId="0" fillId="2" borderId="1" xfId="2" applyNumberFormat="1" applyFont="1" applyFill="1" applyBorder="1" applyProtection="1">
      <protection locked="0"/>
    </xf>
    <xf numFmtId="43" fontId="0" fillId="2" borderId="1" xfId="2" applyFont="1" applyFill="1" applyBorder="1" applyProtection="1">
      <protection locked="0"/>
    </xf>
    <xf numFmtId="0" fontId="14" fillId="3" borderId="0" xfId="0" applyFont="1" applyFill="1"/>
  </cellXfs>
  <cellStyles count="5">
    <cellStyle name="Comma" xfId="2" builtinId="3"/>
    <cellStyle name="Normal" xfId="0" builtinId="0"/>
    <cellStyle name="Note" xfId="1" builtinId="10"/>
    <cellStyle name="Percent" xfId="3" builtinId="5"/>
    <cellStyle name="Style 1" xfId="4" xr:uid="{CAA3948D-C561-4D3F-977D-B4A6D04E8389}"/>
  </cellStyles>
  <dxfs count="14">
    <dxf>
      <font>
        <color rgb="FF00B050"/>
      </font>
      <numFmt numFmtId="171" formatCode="&quot;OK&quot;"/>
    </dxf>
    <dxf>
      <font>
        <color rgb="FF00B050"/>
      </font>
      <numFmt numFmtId="171" formatCode="&quot;OK&quot;"/>
    </dxf>
    <dxf>
      <font>
        <color rgb="FFFF0000"/>
      </font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numFmt numFmtId="171" formatCode="&quot;OK&quot;"/>
    </dxf>
    <dxf>
      <font>
        <color rgb="FF00B050"/>
      </font>
      <numFmt numFmtId="171" formatCode="&quot;OK&quot;"/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Moss/Downloads/Anexo%20DCF%20Model%201908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 Statement Model"/>
      <sheetName val="Regressions &amp; Inputs"/>
      <sheetName val="DCF Model"/>
      <sheetName val="WACC"/>
      <sheetName val="Data&gt;&gt;&gt;"/>
      <sheetName val="P&amp;L"/>
      <sheetName val="BS"/>
      <sheetName val="CF"/>
    </sheetNames>
    <sheetDataSet>
      <sheetData sheetId="0">
        <row r="115">
          <cell r="J115">
            <v>0</v>
          </cell>
          <cell r="K115">
            <v>7.6879999999999997</v>
          </cell>
          <cell r="L115">
            <v>17.536000000000001</v>
          </cell>
          <cell r="M115">
            <v>25.783999999999999</v>
          </cell>
          <cell r="N115">
            <v>24.341000000000001</v>
          </cell>
        </row>
        <row r="118">
          <cell r="J118">
            <v>0.21485799999999999</v>
          </cell>
          <cell r="K118">
            <v>5.4749999999999996</v>
          </cell>
          <cell r="L118">
            <v>0.87</v>
          </cell>
          <cell r="M118">
            <v>5.4219999999999997</v>
          </cell>
          <cell r="N118">
            <v>12.625999999999999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3197F-FF69-4E37-AEBC-95A85D315F7C}">
  <dimension ref="A1:E23"/>
  <sheetViews>
    <sheetView workbookViewId="0">
      <selection activeCell="E14" sqref="E14"/>
    </sheetView>
  </sheetViews>
  <sheetFormatPr defaultColWidth="9.109375" defaultRowHeight="14.4" x14ac:dyDescent="0.3"/>
  <cols>
    <col min="1" max="1" width="2.6640625" style="1" customWidth="1"/>
    <col min="2" max="4" width="12.6640625" style="1" customWidth="1"/>
    <col min="5" max="5" width="12.6640625" style="8" customWidth="1"/>
    <col min="6" max="9" width="12.6640625" style="1" customWidth="1"/>
    <col min="10" max="10" width="14.33203125" style="1" bestFit="1" customWidth="1"/>
    <col min="11" max="50" width="12.6640625" style="1" customWidth="1"/>
    <col min="51" max="16384" width="9.109375" style="1"/>
  </cols>
  <sheetData>
    <row r="1" spans="1:5" ht="33.6" x14ac:dyDescent="0.65">
      <c r="B1" s="88" t="s">
        <v>192</v>
      </c>
    </row>
    <row r="2" spans="1:5" s="15" customFormat="1" ht="15" thickBot="1" x14ac:dyDescent="0.35">
      <c r="A2" s="13"/>
      <c r="B2" s="14" t="str">
        <f>UPPER(cover!E8&amp;" - "&amp;DAY(cover!E12)&amp;"/"&amp;MONTH(cover!E12)&amp;"/"&amp;YEAR(cover!E12))</f>
        <v>ANEXO GROUP PLC - 4/3/2023</v>
      </c>
      <c r="E2" s="13"/>
    </row>
    <row r="3" spans="1:5" ht="15" thickTop="1" x14ac:dyDescent="0.3">
      <c r="B3" s="25" t="str">
        <f>IF(checks!E10&lt;&gt;0,"**ERROR**","")</f>
        <v/>
      </c>
    </row>
    <row r="4" spans="1:5" s="3" customFormat="1" x14ac:dyDescent="0.3">
      <c r="A4" s="5"/>
      <c r="B4" s="2" t="s">
        <v>2</v>
      </c>
      <c r="E4" s="4"/>
    </row>
    <row r="6" spans="1:5" x14ac:dyDescent="0.3">
      <c r="B6" s="2" t="s">
        <v>5</v>
      </c>
      <c r="C6" s="3"/>
      <c r="D6" s="3"/>
      <c r="E6" s="4"/>
    </row>
    <row r="8" spans="1:5" x14ac:dyDescent="0.3">
      <c r="B8" s="1" t="s">
        <v>0</v>
      </c>
      <c r="D8" s="6"/>
      <c r="E8" s="9" t="s">
        <v>159</v>
      </c>
    </row>
    <row r="9" spans="1:5" x14ac:dyDescent="0.3">
      <c r="B9" s="1" t="s">
        <v>1</v>
      </c>
      <c r="D9" s="6"/>
      <c r="E9" s="9" t="s">
        <v>160</v>
      </c>
    </row>
    <row r="10" spans="1:5" x14ac:dyDescent="0.3">
      <c r="B10" s="1" t="s">
        <v>3</v>
      </c>
      <c r="D10" s="6"/>
      <c r="E10" s="9" t="s">
        <v>4</v>
      </c>
    </row>
    <row r="11" spans="1:5" x14ac:dyDescent="0.3">
      <c r="B11" s="1" t="s">
        <v>7</v>
      </c>
      <c r="D11" s="6"/>
      <c r="E11" s="10">
        <v>44989</v>
      </c>
    </row>
    <row r="12" spans="1:5" x14ac:dyDescent="0.3">
      <c r="B12" s="1" t="s">
        <v>147</v>
      </c>
      <c r="D12" s="7"/>
      <c r="E12" s="10">
        <v>44989</v>
      </c>
    </row>
    <row r="13" spans="1:5" x14ac:dyDescent="0.3">
      <c r="B13" s="1" t="s">
        <v>141</v>
      </c>
      <c r="D13" s="7"/>
      <c r="E13" s="10">
        <v>44742</v>
      </c>
    </row>
    <row r="14" spans="1:5" x14ac:dyDescent="0.3">
      <c r="B14" s="1" t="s">
        <v>44</v>
      </c>
      <c r="D14" s="27"/>
      <c r="E14" s="28">
        <f>IF(DATE(0,MONTH(E12),DAY(E12))&gt;DATE(0,MONTH(E21),DAY(E21)),DATE(YEAR(E12),MONTH(D21),DAY(D21)),DATE(YEAR(E12)-1,MONTH(D23),DAY(D23)))</f>
        <v>44926</v>
      </c>
    </row>
    <row r="16" spans="1:5" x14ac:dyDescent="0.3">
      <c r="B16" s="2" t="s">
        <v>6</v>
      </c>
      <c r="C16" s="3"/>
      <c r="D16" s="3"/>
      <c r="E16" s="4"/>
    </row>
    <row r="18" spans="2:5" x14ac:dyDescent="0.3">
      <c r="D18" s="8" t="s">
        <v>12</v>
      </c>
      <c r="E18" s="8" t="s">
        <v>14</v>
      </c>
    </row>
    <row r="19" spans="2:5" x14ac:dyDescent="0.3">
      <c r="D19" s="8" t="s">
        <v>13</v>
      </c>
      <c r="E19" s="8" t="s">
        <v>13</v>
      </c>
    </row>
    <row r="20" spans="2:5" x14ac:dyDescent="0.3">
      <c r="B20" s="1" t="s">
        <v>8</v>
      </c>
      <c r="D20" s="11">
        <v>44286</v>
      </c>
      <c r="E20" s="11"/>
    </row>
    <row r="21" spans="2:5" x14ac:dyDescent="0.3">
      <c r="B21" s="1" t="s">
        <v>11</v>
      </c>
      <c r="D21" s="12">
        <f>EOMONTH(D20,3)</f>
        <v>44377</v>
      </c>
      <c r="E21" s="11">
        <v>44824</v>
      </c>
    </row>
    <row r="22" spans="2:5" x14ac:dyDescent="0.3">
      <c r="B22" s="1" t="s">
        <v>9</v>
      </c>
      <c r="D22" s="12">
        <f>EOMONTH(D21,3)</f>
        <v>44469</v>
      </c>
      <c r="E22" s="11"/>
    </row>
    <row r="23" spans="2:5" x14ac:dyDescent="0.3">
      <c r="B23" s="1" t="s">
        <v>10</v>
      </c>
      <c r="D23" s="12">
        <f>EOMONTH(D22,3)</f>
        <v>44561</v>
      </c>
      <c r="E23" s="11">
        <v>44661</v>
      </c>
    </row>
  </sheetData>
  <sheetProtection formatCells="0" formatColumns="0" formatRows="0" insertColumns="0" insertRows="0" insertHyperlinks="0" deleteColumns="0" deleteRows="0" selectLockedCells="1" sort="0" autoFilter="0" pivotTables="0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BD1BF-557B-48BE-A054-77E8CACF84E6}">
  <dimension ref="A1:R92"/>
  <sheetViews>
    <sheetView tabSelected="1" zoomScale="67" workbookViewId="0">
      <selection activeCell="D8" sqref="D8"/>
    </sheetView>
  </sheetViews>
  <sheetFormatPr defaultColWidth="9.109375" defaultRowHeight="14.4" x14ac:dyDescent="0.3"/>
  <cols>
    <col min="1" max="1" width="2.6640625" style="1" customWidth="1"/>
    <col min="2" max="4" width="12.6640625" style="1" customWidth="1"/>
    <col min="5" max="5" width="12.6640625" style="8" customWidth="1"/>
    <col min="6" max="9" width="12.6640625" style="1" customWidth="1"/>
    <col min="10" max="10" width="14.33203125" style="1" bestFit="1" customWidth="1"/>
    <col min="11" max="51" width="12.6640625" style="1" customWidth="1"/>
    <col min="52" max="16384" width="9.109375" style="1"/>
  </cols>
  <sheetData>
    <row r="1" spans="1:18" ht="35.4" customHeight="1" x14ac:dyDescent="0.65">
      <c r="B1" s="88" t="s">
        <v>192</v>
      </c>
    </row>
    <row r="2" spans="1:18" s="15" customFormat="1" ht="15" thickBot="1" x14ac:dyDescent="0.35">
      <c r="A2" s="13"/>
      <c r="B2" s="14" t="str">
        <f>UPPER(cover!E8&amp;" - "&amp;DAY(cover!E12)&amp;"/"&amp;MONTH(cover!E12)&amp;"/"&amp;YEAR(cover!E12))</f>
        <v>ANEXO GROUP PLC - 4/3/2023</v>
      </c>
      <c r="E2" s="13"/>
    </row>
    <row r="3" spans="1:18" ht="15" thickTop="1" x14ac:dyDescent="0.3">
      <c r="B3" s="25" t="str">
        <f>IF(checks!E10&lt;&gt;0,"**ERROR**","")</f>
        <v/>
      </c>
    </row>
    <row r="4" spans="1:18" s="3" customFormat="1" x14ac:dyDescent="0.3">
      <c r="A4" s="5"/>
      <c r="B4" s="2" t="s">
        <v>166</v>
      </c>
      <c r="E4" s="4"/>
    </row>
    <row r="5" spans="1:18" x14ac:dyDescent="0.3">
      <c r="B5" s="40"/>
    </row>
    <row r="6" spans="1:18" x14ac:dyDescent="0.3">
      <c r="B6" s="2" t="s">
        <v>166</v>
      </c>
      <c r="C6" s="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3">
      <c r="E7" s="1"/>
    </row>
    <row r="8" spans="1:18" x14ac:dyDescent="0.3">
      <c r="B8" s="1" t="s">
        <v>117</v>
      </c>
      <c r="D8" s="79">
        <f>WACC!I25</f>
        <v>0.11354232940939801</v>
      </c>
      <c r="E8" s="1"/>
      <c r="F8" s="62" t="s">
        <v>182</v>
      </c>
    </row>
    <row r="9" spans="1:18" x14ac:dyDescent="0.3">
      <c r="B9" s="1" t="s">
        <v>118</v>
      </c>
      <c r="D9" s="79">
        <v>0.02</v>
      </c>
      <c r="E9" s="1"/>
      <c r="F9" s="21" t="s">
        <v>188</v>
      </c>
      <c r="G9" s="21"/>
      <c r="H9" s="78">
        <f>($D$13*$D$12/10^8-$D$84)/SUM($K$47:$L$47)</f>
        <v>6.010874601724276</v>
      </c>
    </row>
    <row r="10" spans="1:18" x14ac:dyDescent="0.3">
      <c r="B10" s="1" t="s">
        <v>119</v>
      </c>
      <c r="D10" s="16">
        <f>cover!E12</f>
        <v>44989</v>
      </c>
      <c r="E10" s="1"/>
      <c r="F10" s="21" t="s">
        <v>187</v>
      </c>
      <c r="G10" s="21"/>
      <c r="H10" s="78">
        <f>($D$13*$D$12/10^8-$D$84)/SUM($M$47)</f>
        <v>4.7354195270291388</v>
      </c>
    </row>
    <row r="11" spans="1:18" x14ac:dyDescent="0.3">
      <c r="B11" s="1" t="s">
        <v>141</v>
      </c>
      <c r="D11" s="16">
        <f>cover!E13</f>
        <v>44742</v>
      </c>
      <c r="F11" s="21" t="s">
        <v>186</v>
      </c>
      <c r="G11" s="21"/>
      <c r="H11" s="78">
        <f>($D$13*$D$12/10^8-$D$84)/SUM($N$47)</f>
        <v>4.5863727931412095</v>
      </c>
    </row>
    <row r="12" spans="1:18" x14ac:dyDescent="0.3">
      <c r="B12" s="1" t="s">
        <v>165</v>
      </c>
      <c r="D12" s="43">
        <f>WACC!E14</f>
        <v>113</v>
      </c>
      <c r="F12" s="21" t="s">
        <v>183</v>
      </c>
      <c r="G12" s="62"/>
      <c r="H12" s="78">
        <f>($D$13*$D$12/10^8-$D$84)/SUM($K$45:$L$45)</f>
        <v>4.7153578233631475</v>
      </c>
      <c r="I12" s="69"/>
    </row>
    <row r="13" spans="1:18" x14ac:dyDescent="0.3">
      <c r="B13" s="1" t="s">
        <v>120</v>
      </c>
      <c r="D13" s="80">
        <v>118000000</v>
      </c>
      <c r="F13" s="21" t="s">
        <v>185</v>
      </c>
      <c r="G13" s="21"/>
      <c r="H13" s="78">
        <f>($D$13*$D$12/10^8-$D$84)/SUM($M$45)</f>
        <v>4.3206204048933721</v>
      </c>
    </row>
    <row r="14" spans="1:18" x14ac:dyDescent="0.3">
      <c r="B14" s="40"/>
      <c r="F14" s="21" t="s">
        <v>184</v>
      </c>
      <c r="G14" s="21"/>
      <c r="H14" s="78">
        <f>($D$13*$D$12/10^8-$D$84)/SUM($N$45)</f>
        <v>4.0760569857484654</v>
      </c>
    </row>
    <row r="15" spans="1:18" x14ac:dyDescent="0.3">
      <c r="B15" s="40" t="s">
        <v>179</v>
      </c>
      <c r="D15" s="70">
        <f>summary!H83</f>
        <v>113</v>
      </c>
      <c r="E15" s="1"/>
      <c r="F15" s="21" t="s">
        <v>189</v>
      </c>
      <c r="G15" s="21"/>
      <c r="H15" s="78">
        <f>($D$13*$D$12/10^8)/SUM($K$49:$L$49)</f>
        <v>6.5634475459432977</v>
      </c>
    </row>
    <row r="16" spans="1:18" x14ac:dyDescent="0.3">
      <c r="B16" s="40" t="s">
        <v>181</v>
      </c>
      <c r="D16" s="70">
        <f>summary!D92</f>
        <v>152.61844009059203</v>
      </c>
      <c r="E16" s="1"/>
      <c r="F16" s="21" t="s">
        <v>190</v>
      </c>
      <c r="G16" s="21"/>
      <c r="H16" s="78">
        <f>($D$13*$D$12/10^8)/SUM($M$49)</f>
        <v>4.8428386496083977</v>
      </c>
    </row>
    <row r="17" spans="2:18" x14ac:dyDescent="0.3">
      <c r="B17" s="62" t="s">
        <v>178</v>
      </c>
      <c r="D17" s="71">
        <f>1-D15/D16</f>
        <v>0.25959143644159322</v>
      </c>
      <c r="E17" s="1"/>
      <c r="F17" s="21" t="s">
        <v>191</v>
      </c>
      <c r="G17" s="21"/>
      <c r="H17" s="78">
        <f>($D$13*$D$12/10^8)/SUM($N$49)</f>
        <v>4.723302496187352</v>
      </c>
    </row>
    <row r="18" spans="2:18" x14ac:dyDescent="0.3">
      <c r="B18" s="40"/>
    </row>
    <row r="19" spans="2:18" x14ac:dyDescent="0.3">
      <c r="B19" s="1" t="s">
        <v>18</v>
      </c>
      <c r="E19" s="16">
        <f>'detailed-financials'!E6</f>
        <v>42735</v>
      </c>
      <c r="F19" s="16">
        <f>'detailed-financials'!F6</f>
        <v>43100</v>
      </c>
      <c r="G19" s="16">
        <f>'detailed-financials'!G6</f>
        <v>43465</v>
      </c>
      <c r="H19" s="16">
        <f>'detailed-financials'!H6</f>
        <v>43830</v>
      </c>
      <c r="I19" s="16">
        <f>'detailed-financials'!I6</f>
        <v>44196</v>
      </c>
      <c r="J19" s="16">
        <f>'detailed-financials'!J6</f>
        <v>44561</v>
      </c>
      <c r="K19" s="16">
        <f>'detailed-financials'!K6</f>
        <v>44742</v>
      </c>
      <c r="L19" s="16">
        <f>'detailed-financials'!L6</f>
        <v>44926</v>
      </c>
      <c r="M19" s="16">
        <f>'detailed-financials'!M6</f>
        <v>45291</v>
      </c>
      <c r="N19" s="16">
        <f>'detailed-financials'!N6</f>
        <v>45657</v>
      </c>
      <c r="O19" s="16">
        <f>'detailed-financials'!O6</f>
        <v>46022</v>
      </c>
      <c r="P19" s="16">
        <f>'detailed-financials'!P6</f>
        <v>46387</v>
      </c>
      <c r="Q19" s="16">
        <f>'detailed-financials'!Q6</f>
        <v>46752</v>
      </c>
      <c r="R19" s="16">
        <f>'detailed-financials'!R6</f>
        <v>47118</v>
      </c>
    </row>
    <row r="20" spans="2:18" x14ac:dyDescent="0.3">
      <c r="B20" s="1" t="s">
        <v>58</v>
      </c>
      <c r="E20" s="1">
        <f>'detailed-financials'!E7</f>
        <v>12</v>
      </c>
      <c r="F20" s="1">
        <f>'detailed-financials'!F7</f>
        <v>12</v>
      </c>
      <c r="G20" s="1">
        <f>'detailed-financials'!G7</f>
        <v>12</v>
      </c>
      <c r="H20" s="1">
        <f>'detailed-financials'!H7</f>
        <v>12</v>
      </c>
      <c r="I20" s="1">
        <f>'detailed-financials'!I7</f>
        <v>12</v>
      </c>
      <c r="J20" s="1">
        <f>'detailed-financials'!J7</f>
        <v>12</v>
      </c>
      <c r="K20" s="1">
        <f>'detailed-financials'!K7</f>
        <v>6</v>
      </c>
      <c r="L20" s="1">
        <f>'detailed-financials'!L7</f>
        <v>6</v>
      </c>
      <c r="M20" s="1">
        <f>'detailed-financials'!M7</f>
        <v>12</v>
      </c>
      <c r="N20" s="1">
        <f>'detailed-financials'!N7</f>
        <v>12</v>
      </c>
      <c r="O20" s="1">
        <f>'detailed-financials'!O7</f>
        <v>12</v>
      </c>
      <c r="P20" s="1">
        <f>'detailed-financials'!P7</f>
        <v>12</v>
      </c>
      <c r="Q20" s="1">
        <f>'detailed-financials'!Q7</f>
        <v>12</v>
      </c>
      <c r="R20" s="1">
        <f>'detailed-financials'!R7</f>
        <v>12</v>
      </c>
    </row>
    <row r="21" spans="2:18" x14ac:dyDescent="0.3">
      <c r="B21" s="40"/>
    </row>
    <row r="22" spans="2:18" x14ac:dyDescent="0.3">
      <c r="B22" s="2" t="s">
        <v>193</v>
      </c>
      <c r="C22" s="3"/>
      <c r="D22" s="5"/>
      <c r="E22" s="4"/>
      <c r="F22" s="4"/>
      <c r="G22" s="4"/>
      <c r="H22" s="4"/>
      <c r="I22" s="4"/>
      <c r="J22" s="4"/>
      <c r="K22" s="4"/>
      <c r="L22" s="4"/>
      <c r="M22" s="4"/>
      <c r="N22" s="4"/>
      <c r="O22" s="5"/>
      <c r="P22" s="5"/>
      <c r="Q22" s="5"/>
      <c r="R22" s="5"/>
    </row>
    <row r="23" spans="2:18" x14ac:dyDescent="0.3">
      <c r="D23" s="24"/>
      <c r="F23" s="8"/>
    </row>
    <row r="24" spans="2:18" x14ac:dyDescent="0.3">
      <c r="B24" s="1" t="s">
        <v>88</v>
      </c>
      <c r="E24" s="56"/>
      <c r="F24" s="56">
        <f>('detailed-financials'!F44*(12/'detailed-financials'!F$7))/'detailed-financials'!E44-1</f>
        <v>0.16166406030334524</v>
      </c>
      <c r="G24" s="56">
        <f>('detailed-financials'!G44*(12/'detailed-financials'!G$7))/'detailed-financials'!F44-1</f>
        <v>0.24729592512471865</v>
      </c>
      <c r="H24" s="56">
        <f>('detailed-financials'!H44*(12/'detailed-financials'!H$7))/'detailed-financials'!G44-1</f>
        <v>0.38943456331298121</v>
      </c>
      <c r="I24" s="56">
        <f>('detailed-financials'!I44*(12/'detailed-financials'!I$7))/'detailed-financials'!H44-1</f>
        <v>0.10498025729206462</v>
      </c>
      <c r="J24" s="56">
        <f>('detailed-financials'!J44*(12/'detailed-financials'!J$7))/'detailed-financials'!I44-1</f>
        <v>0.36293111398008127</v>
      </c>
      <c r="K24" s="56">
        <f>('detailed-financials'!K44*(12/'detailed-financials'!K$7))/'detailed-financials'!J44-1</f>
        <v>0.16055041991931462</v>
      </c>
      <c r="L24" s="81">
        <v>0.1</v>
      </c>
      <c r="M24" s="81">
        <v>0.08</v>
      </c>
      <c r="N24" s="81">
        <v>0.06</v>
      </c>
      <c r="O24" s="81">
        <v>0.04</v>
      </c>
      <c r="P24" s="81">
        <v>0.02</v>
      </c>
      <c r="Q24" s="81">
        <v>0.02</v>
      </c>
      <c r="R24" s="81">
        <v>0.02</v>
      </c>
    </row>
    <row r="25" spans="2:18" x14ac:dyDescent="0.3">
      <c r="B25" s="1" t="s">
        <v>87</v>
      </c>
      <c r="E25" s="56">
        <f>'detailed-financials'!E46/'detailed-financials'!E44</f>
        <v>0.78005810884568128</v>
      </c>
      <c r="F25" s="56">
        <f>'detailed-financials'!F46/'detailed-financials'!F44</f>
        <v>0.7494812591055583</v>
      </c>
      <c r="G25" s="56">
        <f>'detailed-financials'!G46/'detailed-financials'!G44</f>
        <v>0.71386602955490663</v>
      </c>
      <c r="H25" s="56">
        <f>'detailed-financials'!H46/'detailed-financials'!H44</f>
        <v>0.79998726276907395</v>
      </c>
      <c r="I25" s="56">
        <f>'detailed-financials'!I46/'detailed-financials'!I44</f>
        <v>0.78329029878273704</v>
      </c>
      <c r="J25" s="56">
        <f>'detailed-financials'!J46/'detailed-financials'!J44</f>
        <v>0.77370873753562763</v>
      </c>
      <c r="K25" s="56">
        <f>'detailed-financials'!K46/'detailed-financials'!K44</f>
        <v>0.76311033377058735</v>
      </c>
      <c r="L25" s="81">
        <f t="shared" ref="L25:Q26" si="0">K25</f>
        <v>0.76311033377058735</v>
      </c>
      <c r="M25" s="81">
        <f t="shared" si="0"/>
        <v>0.76311033377058735</v>
      </c>
      <c r="N25" s="81">
        <f t="shared" si="0"/>
        <v>0.76311033377058735</v>
      </c>
      <c r="O25" s="81">
        <f t="shared" si="0"/>
        <v>0.76311033377058735</v>
      </c>
      <c r="P25" s="81">
        <f t="shared" si="0"/>
        <v>0.76311033377058735</v>
      </c>
      <c r="Q25" s="81">
        <f t="shared" si="0"/>
        <v>0.76311033377058735</v>
      </c>
      <c r="R25" s="81">
        <v>0.76743983225861234</v>
      </c>
    </row>
    <row r="26" spans="2:18" x14ac:dyDescent="0.3">
      <c r="B26" s="1" t="s">
        <v>89</v>
      </c>
      <c r="E26" s="56">
        <f>-('detailed-financials'!E47+'detailed-financials'!E48)/'detailed-financials'!E44</f>
        <v>0.42261034391815583</v>
      </c>
      <c r="F26" s="56">
        <f>-('detailed-financials'!F47+'detailed-financials'!F48)/'detailed-financials'!F44</f>
        <v>0.39996026665489381</v>
      </c>
      <c r="G26" s="56">
        <f>-('detailed-financials'!G47+'detailed-financials'!G48)/'detailed-financials'!G44</f>
        <v>0.38895672949296523</v>
      </c>
      <c r="H26" s="56">
        <f>-('detailed-financials'!H47+'detailed-financials'!H48)/'detailed-financials'!H44</f>
        <v>0.40290408865112726</v>
      </c>
      <c r="I26" s="56">
        <f>-('detailed-financials'!I47+'detailed-financials'!I48)/'detailed-financials'!I44</f>
        <v>0.49842078568793802</v>
      </c>
      <c r="J26" s="56">
        <f>-('detailed-financials'!J47+'detailed-financials'!J48)/'detailed-financials'!J44</f>
        <v>0.46931163679728005</v>
      </c>
      <c r="K26" s="56">
        <f>-('detailed-financials'!K47+'detailed-financials'!K48)/'detailed-financials'!K44</f>
        <v>0.44576592333479087</v>
      </c>
      <c r="L26" s="81">
        <f>AVERAGE(H26:K26)</f>
        <v>0.45410060861778406</v>
      </c>
      <c r="M26" s="81">
        <f>L26</f>
        <v>0.45410060861778406</v>
      </c>
      <c r="N26" s="81">
        <f t="shared" si="0"/>
        <v>0.45410060861778406</v>
      </c>
      <c r="O26" s="81">
        <f t="shared" si="0"/>
        <v>0.45410060861778406</v>
      </c>
      <c r="P26" s="81">
        <f t="shared" si="0"/>
        <v>0.45410060861778406</v>
      </c>
      <c r="Q26" s="81">
        <f t="shared" si="0"/>
        <v>0.45410060861778406</v>
      </c>
      <c r="R26" s="81">
        <f t="shared" ref="R26" si="1">Q26</f>
        <v>0.45410060861778406</v>
      </c>
    </row>
    <row r="27" spans="2:18" x14ac:dyDescent="0.3">
      <c r="B27" s="1" t="s">
        <v>92</v>
      </c>
      <c r="E27" s="56"/>
      <c r="F27" s="56">
        <f>-'detailed-financials'!F50*(12/'detailed-financials'!F7)/('detailed-financials'!E18)</f>
        <v>0.79147374494133715</v>
      </c>
      <c r="G27" s="56">
        <f>-'detailed-financials'!G50*(12/'detailed-financials'!G7)/('detailed-financials'!F18)</f>
        <v>1.0355263157894736</v>
      </c>
      <c r="H27" s="56">
        <f>-'detailed-financials'!H50*(12/'detailed-financials'!H7)/('detailed-financials'!G18)</f>
        <v>2.0128440366972478</v>
      </c>
      <c r="I27" s="56">
        <f>-'detailed-financials'!I50*(12/'detailed-financials'!I7)/('detailed-financials'!H18)</f>
        <v>0.57100008569714633</v>
      </c>
      <c r="J27" s="56">
        <f>-'detailed-financials'!J50*(12/'detailed-financials'!J7)/('detailed-financials'!I18)</f>
        <v>0.55741194684556827</v>
      </c>
      <c r="K27" s="56">
        <f>-'detailed-financials'!K50*(12/'detailed-financials'!K7)/('detailed-financials'!J18)</f>
        <v>0.58835813103628287</v>
      </c>
      <c r="L27" s="81">
        <v>0.2</v>
      </c>
      <c r="M27" s="81">
        <v>0.2</v>
      </c>
      <c r="N27" s="81">
        <v>0.2</v>
      </c>
      <c r="O27" s="81">
        <v>0.2</v>
      </c>
      <c r="P27" s="81">
        <v>0.2</v>
      </c>
      <c r="Q27" s="81">
        <v>0.2</v>
      </c>
      <c r="R27" s="81">
        <v>0.2</v>
      </c>
    </row>
    <row r="28" spans="2:18" x14ac:dyDescent="0.3">
      <c r="B28" s="1" t="s">
        <v>90</v>
      </c>
      <c r="E28" s="56"/>
      <c r="F28" s="56">
        <f>-('detailed-financials'!F52*12/'detailed-financials'!F7)/AVERAGE('detailed-financials'!E26:F26)</f>
        <v>7.3554376193857046E-2</v>
      </c>
      <c r="G28" s="56">
        <f>-('detailed-financials'!G52*12/'detailed-financials'!G7)/AVERAGE('detailed-financials'!F26:G26)</f>
        <v>6.9055085685324216E-2</v>
      </c>
      <c r="H28" s="56">
        <f>-('detailed-financials'!H52*12/'detailed-financials'!H7)/AVERAGE('detailed-financials'!G26:H26)</f>
        <v>8.8768846246875754E-2</v>
      </c>
      <c r="I28" s="56">
        <f>-('detailed-financials'!I52*12/'detailed-financials'!I7)/AVERAGE('detailed-financials'!H26:I26)</f>
        <v>7.5161720915905117E-2</v>
      </c>
      <c r="J28" s="56">
        <f>-('detailed-financials'!J52*12/'detailed-financials'!J7)/AVERAGE('detailed-financials'!I26:J26)</f>
        <v>6.7653435702017026E-2</v>
      </c>
      <c r="K28" s="56">
        <f>-('detailed-financials'!K52*12/'detailed-financials'!K7)/AVERAGE('detailed-financials'!J26:K26)</f>
        <v>6.8965041620402609E-2</v>
      </c>
      <c r="L28" s="81">
        <f>MAX(F28:K28)</f>
        <v>8.8768846246875754E-2</v>
      </c>
      <c r="M28" s="81">
        <f>L28</f>
        <v>8.8768846246875754E-2</v>
      </c>
      <c r="N28" s="81">
        <f t="shared" ref="N28:R28" si="2">M28</f>
        <v>8.8768846246875754E-2</v>
      </c>
      <c r="O28" s="81">
        <f t="shared" si="2"/>
        <v>8.8768846246875754E-2</v>
      </c>
      <c r="P28" s="81">
        <f t="shared" si="2"/>
        <v>8.8768846246875754E-2</v>
      </c>
      <c r="Q28" s="81">
        <f t="shared" si="2"/>
        <v>8.8768846246875754E-2</v>
      </c>
      <c r="R28" s="81">
        <f t="shared" si="2"/>
        <v>8.8768846246875754E-2</v>
      </c>
    </row>
    <row r="29" spans="2:18" x14ac:dyDescent="0.3">
      <c r="B29" s="1" t="s">
        <v>91</v>
      </c>
      <c r="E29" s="57">
        <f>-'detailed-financials'!E55/'detailed-financials'!E54</f>
        <v>0.1770992822623999</v>
      </c>
      <c r="F29" s="57">
        <f>-'detailed-financials'!F55/'detailed-financials'!F54</f>
        <v>0.14367027842545602</v>
      </c>
      <c r="G29" s="57">
        <f>-'detailed-financials'!G55/'detailed-financials'!G54</f>
        <v>0.20155418650238027</v>
      </c>
      <c r="H29" s="57">
        <f>-'detailed-financials'!H55/'detailed-financials'!H54</f>
        <v>0.196641507748649</v>
      </c>
      <c r="I29" s="57">
        <f>-'detailed-financials'!I55/'detailed-financials'!I54</f>
        <v>0.20486828512396693</v>
      </c>
      <c r="J29" s="57">
        <f>-'detailed-financials'!J55/'detailed-financials'!J54</f>
        <v>0.1936326118083046</v>
      </c>
      <c r="K29" s="57">
        <f>-'detailed-financials'!K55/'detailed-financials'!K54</f>
        <v>0.20046927702009096</v>
      </c>
      <c r="L29" s="81">
        <v>0.19</v>
      </c>
      <c r="M29" s="81">
        <v>0.25</v>
      </c>
      <c r="N29" s="81">
        <v>0.25</v>
      </c>
      <c r="O29" s="81">
        <v>0.25</v>
      </c>
      <c r="P29" s="81">
        <v>0.25</v>
      </c>
      <c r="Q29" s="81">
        <v>0.25</v>
      </c>
      <c r="R29" s="81">
        <v>0.25</v>
      </c>
    </row>
    <row r="30" spans="2:18" x14ac:dyDescent="0.3">
      <c r="B30" s="1" t="s">
        <v>93</v>
      </c>
      <c r="E30" s="58">
        <f>'detailed-financials'!E13/'detailed-financials'!E44*365*'detailed-financials'!E7/12</f>
        <v>142.17611831833858</v>
      </c>
      <c r="F30" s="58">
        <f>'detailed-financials'!F13/'detailed-financials'!F44*365*'detailed-financials'!F7/12</f>
        <v>0</v>
      </c>
      <c r="G30" s="58">
        <f>'detailed-financials'!G13/'detailed-financials'!G44*365*'detailed-financials'!G7/12</f>
        <v>0</v>
      </c>
      <c r="H30" s="58">
        <f>'detailed-financials'!H13/'detailed-financials'!H44*365*'detailed-financials'!H7/12</f>
        <v>0</v>
      </c>
      <c r="I30" s="58">
        <f>'detailed-financials'!I13/'detailed-financials'!I44*365*'detailed-financials'!I7/12</f>
        <v>0</v>
      </c>
      <c r="J30" s="58">
        <f>'detailed-financials'!J13/'detailed-financials'!J44*365*'detailed-financials'!J7/12</f>
        <v>0</v>
      </c>
      <c r="K30" s="58">
        <f>'detailed-financials'!K13/'detailed-financials'!K44*365*'detailed-financials'!K7/12</f>
        <v>0</v>
      </c>
      <c r="L30" s="82"/>
      <c r="M30" s="82"/>
      <c r="N30" s="82"/>
      <c r="O30" s="82"/>
      <c r="P30" s="82"/>
      <c r="Q30" s="82"/>
      <c r="R30" s="82"/>
    </row>
    <row r="31" spans="2:18" x14ac:dyDescent="0.3">
      <c r="B31" s="1" t="s">
        <v>94</v>
      </c>
      <c r="E31" s="58">
        <f>'detailed-financials'!E14/'detailed-financials'!E44*365*'detailed-financials'!E7/12</f>
        <v>493.07999280979647</v>
      </c>
      <c r="F31" s="58">
        <f>'detailed-financials'!F14/'detailed-financials'!F44*365*'detailed-financials'!F7/12</f>
        <v>647.95516754227197</v>
      </c>
      <c r="G31" s="58">
        <f>'detailed-financials'!G14/'detailed-financials'!G44*365*'detailed-financials'!G7/12</f>
        <v>651.33492611273323</v>
      </c>
      <c r="H31" s="58">
        <f>'detailed-financials'!H14/'detailed-financials'!H44*365*'detailed-financials'!H7/12</f>
        <v>589.56960896701048</v>
      </c>
      <c r="I31" s="58">
        <f>'detailed-financials'!I14/'detailed-financials'!I44*365*'detailed-financials'!I7/12</f>
        <v>621.74370619697527</v>
      </c>
      <c r="J31" s="58">
        <f>'detailed-financials'!J14/'detailed-financials'!J44*365*'detailed-financials'!J7/12</f>
        <v>580.77344655226364</v>
      </c>
      <c r="K31" s="58">
        <f>'detailed-financials'!K14/'detailed-financials'!K44*365*'detailed-financials'!K7/12</f>
        <v>558.10526891123743</v>
      </c>
      <c r="L31" s="82">
        <f>AVERAGE(H31:K31)</f>
        <v>587.54800765687173</v>
      </c>
      <c r="M31" s="82">
        <f t="shared" ref="M31:R31" si="3">L31</f>
        <v>587.54800765687173</v>
      </c>
      <c r="N31" s="82">
        <f t="shared" si="3"/>
        <v>587.54800765687173</v>
      </c>
      <c r="O31" s="82">
        <f t="shared" si="3"/>
        <v>587.54800765687173</v>
      </c>
      <c r="P31" s="82">
        <f t="shared" si="3"/>
        <v>587.54800765687173</v>
      </c>
      <c r="Q31" s="82">
        <f t="shared" si="3"/>
        <v>587.54800765687173</v>
      </c>
      <c r="R31" s="82">
        <f t="shared" si="3"/>
        <v>587.54800765687173</v>
      </c>
    </row>
    <row r="32" spans="2:18" x14ac:dyDescent="0.3">
      <c r="B32" s="1" t="s">
        <v>95</v>
      </c>
      <c r="E32" s="58">
        <f>-'detailed-financials'!E22/'detailed-financials'!E45*365*'detailed-financials'!E7/12</f>
        <v>939.51773687987372</v>
      </c>
      <c r="F32" s="58">
        <f>-'detailed-financials'!F22/'detailed-financials'!F45*365*'detailed-financials'!F7/12</f>
        <v>434.82245131729661</v>
      </c>
      <c r="G32" s="58">
        <f>-'detailed-financials'!G22/'detailed-financials'!G45*365*'detailed-financials'!G7/12</f>
        <v>362.11034141514102</v>
      </c>
      <c r="H32" s="58">
        <f>-'detailed-financials'!H22/'detailed-financials'!H45*365*'detailed-financials'!H7/12</f>
        <v>436.35897599184881</v>
      </c>
      <c r="I32" s="58">
        <f>-'detailed-financials'!I22/'detailed-financials'!I45*365*'detailed-financials'!I7/12</f>
        <v>480.84867021276585</v>
      </c>
      <c r="J32" s="58">
        <f>-'detailed-financials'!J22/'detailed-financials'!J45*365*'detailed-financials'!J7/12</f>
        <v>233.69767528778593</v>
      </c>
      <c r="K32" s="58">
        <f>-'detailed-financials'!K22/'detailed-financials'!K45*365*'detailed-financials'!K7/12</f>
        <v>193.44797883467666</v>
      </c>
      <c r="L32" s="82">
        <f>K32</f>
        <v>193.44797883467666</v>
      </c>
      <c r="M32" s="82">
        <f t="shared" ref="M32:R32" si="4">L32</f>
        <v>193.44797883467666</v>
      </c>
      <c r="N32" s="82">
        <f t="shared" si="4"/>
        <v>193.44797883467666</v>
      </c>
      <c r="O32" s="82">
        <f t="shared" si="4"/>
        <v>193.44797883467666</v>
      </c>
      <c r="P32" s="82">
        <f t="shared" si="4"/>
        <v>193.44797883467666</v>
      </c>
      <c r="Q32" s="82">
        <f t="shared" si="4"/>
        <v>193.44797883467666</v>
      </c>
      <c r="R32" s="82">
        <f t="shared" si="4"/>
        <v>193.44797883467666</v>
      </c>
    </row>
    <row r="33" spans="2:18" x14ac:dyDescent="0.3">
      <c r="B33" s="1" t="s">
        <v>96</v>
      </c>
      <c r="E33" s="59">
        <f>'detailed-financials'!E26/('detailed-financials'!E49*12/'detailed-financials'!E7)</f>
        <v>1.5413530301614022E-2</v>
      </c>
      <c r="F33" s="59">
        <f>'detailed-financials'!F26/('detailed-financials'!F49*12/'detailed-financials'!F7)</f>
        <v>0.83131236579512424</v>
      </c>
      <c r="G33" s="59">
        <f>'detailed-financials'!G26/('detailed-financials'!G49*12/'detailed-financials'!G7)</f>
        <v>1.0025600522904299</v>
      </c>
      <c r="H33" s="59">
        <f>'detailed-financials'!H26/('detailed-financials'!H49*12/'detailed-financials'!H7)</f>
        <v>1.0009943865276663</v>
      </c>
      <c r="I33" s="59">
        <f>'detailed-financials'!I26/('detailed-financials'!I49*12/'detailed-financials'!I7)</f>
        <v>1.4958523853842105</v>
      </c>
      <c r="J33" s="59">
        <f>'detailed-financials'!J26/('detailed-financials'!J49*12/'detailed-financials'!J7)</f>
        <v>1.9331499541552062</v>
      </c>
      <c r="K33" s="59">
        <f>'detailed-financials'!K26/('detailed-financials'!K49*12/'detailed-financials'!K7)</f>
        <v>1.7320764249299592</v>
      </c>
      <c r="L33" s="83">
        <v>1.7320764249299592</v>
      </c>
      <c r="M33" s="83">
        <v>1.7320764249299592</v>
      </c>
      <c r="N33" s="83">
        <v>1.7320764249299592</v>
      </c>
      <c r="O33" s="83">
        <v>1.7320764249299592</v>
      </c>
      <c r="P33" s="83">
        <v>1.7320764249299592</v>
      </c>
      <c r="Q33" s="83">
        <v>1.7320764249299592</v>
      </c>
      <c r="R33" s="83">
        <v>1.7320764249299592</v>
      </c>
    </row>
    <row r="34" spans="2:18" x14ac:dyDescent="0.3">
      <c r="B34" s="1" t="s">
        <v>97</v>
      </c>
      <c r="E34" s="57">
        <f>-('detailed-financials'!E86+'detailed-financials'!E85)/'detailed-financials'!E56</f>
        <v>0.18024004490302734</v>
      </c>
      <c r="F34" s="57">
        <f>-('detailed-financials'!F86+'detailed-financials'!F85)/'detailed-financials'!F56</f>
        <v>0.29638824377352441</v>
      </c>
      <c r="G34" s="57">
        <f>-('detailed-financials'!G86+'detailed-financials'!G85)/'detailed-financials'!G56</f>
        <v>7.1898290223586139E-2</v>
      </c>
      <c r="H34" s="57">
        <f>-('detailed-financials'!H86+'detailed-financials'!H85)/'detailed-financials'!H56</f>
        <v>0.15287969757616188</v>
      </c>
      <c r="I34" s="57">
        <f>-('detailed-financials'!I86+'detailed-financials'!I85)/'detailed-financials'!I56</f>
        <v>9.419407226958991E-2</v>
      </c>
      <c r="J34" s="57">
        <f>-('detailed-financials'!J86+'detailed-financials'!J85)/'detailed-financials'!J56</f>
        <v>9.0871109254230226E-2</v>
      </c>
      <c r="K34" s="57">
        <f>-('detailed-financials'!K86+'detailed-financials'!K85)/'detailed-financials'!K56</f>
        <v>0.10821716801173882</v>
      </c>
      <c r="L34" s="84"/>
      <c r="M34" s="81"/>
      <c r="N34" s="81"/>
      <c r="O34" s="81"/>
      <c r="P34" s="81"/>
      <c r="Q34" s="81"/>
      <c r="R34" s="81"/>
    </row>
    <row r="35" spans="2:18" x14ac:dyDescent="0.3">
      <c r="B35" s="1" t="s">
        <v>98</v>
      </c>
      <c r="E35" s="57">
        <f>'detailed-financials'!E59/'detailed-financials'!E56</f>
        <v>0</v>
      </c>
      <c r="F35" s="57">
        <f>'detailed-financials'!F59/'detailed-financials'!F56</f>
        <v>0</v>
      </c>
      <c r="G35" s="57">
        <f>'detailed-financials'!G59/'detailed-financials'!G56</f>
        <v>0</v>
      </c>
      <c r="H35" s="57">
        <f>'detailed-financials'!H59/'detailed-financials'!H56</f>
        <v>0</v>
      </c>
      <c r="I35" s="57">
        <f>'detailed-financials'!I59/'detailed-financials'!I56</f>
        <v>0</v>
      </c>
      <c r="J35" s="57">
        <f>'detailed-financials'!J59/'detailed-financials'!J56</f>
        <v>0</v>
      </c>
      <c r="K35" s="57">
        <f>'detailed-financials'!K59/'detailed-financials'!K56</f>
        <v>0</v>
      </c>
      <c r="L35" s="84"/>
      <c r="M35" s="84"/>
      <c r="N35" s="84"/>
      <c r="O35" s="84"/>
      <c r="P35" s="84"/>
      <c r="Q35" s="84"/>
      <c r="R35" s="84"/>
    </row>
    <row r="36" spans="2:18" x14ac:dyDescent="0.3">
      <c r="B36" s="1" t="s">
        <v>99</v>
      </c>
      <c r="E36" s="58">
        <f>-SUM('detailed-financials'!E78:E79)</f>
        <v>0.64147600000000005</v>
      </c>
      <c r="F36" s="58">
        <f>-SUM('detailed-financials'!F78:F79)</f>
        <v>1.29</v>
      </c>
      <c r="G36" s="58">
        <f>-SUM('detailed-financials'!G78:G79)</f>
        <v>3.323</v>
      </c>
      <c r="H36" s="58">
        <f>-SUM('detailed-financials'!H78:H79)</f>
        <v>0.63800000000000001</v>
      </c>
      <c r="I36" s="58">
        <f>-SUM('detailed-financials'!I78:I79)</f>
        <v>-0.89500000000000002</v>
      </c>
      <c r="J36" s="58">
        <f>-SUM('detailed-financials'!J78:J79)</f>
        <v>0.58899999999999997</v>
      </c>
      <c r="K36" s="58">
        <f>-SUM('detailed-financials'!K78:K79)</f>
        <v>0.56299999999999994</v>
      </c>
      <c r="L36" s="82">
        <f>'detailed-financials'!K50*-1</f>
        <v>5.6349999999999998</v>
      </c>
      <c r="M36" s="82">
        <f>L36*(1+$D$9)*2</f>
        <v>11.4954</v>
      </c>
      <c r="N36" s="82">
        <f t="shared" ref="N36:R36" si="5">M36*(1+$D$9)</f>
        <v>11.725308</v>
      </c>
      <c r="O36" s="82">
        <f t="shared" si="5"/>
        <v>11.959814160000001</v>
      </c>
      <c r="P36" s="82">
        <f t="shared" si="5"/>
        <v>12.199010443200001</v>
      </c>
      <c r="Q36" s="82">
        <f t="shared" si="5"/>
        <v>12.442990652064001</v>
      </c>
      <c r="R36" s="82">
        <f t="shared" si="5"/>
        <v>12.691850465105281</v>
      </c>
    </row>
    <row r="37" spans="2:18" x14ac:dyDescent="0.3">
      <c r="B37" s="1" t="s">
        <v>152</v>
      </c>
      <c r="E37" s="56">
        <f>'detailed-financials'!E$51*(1-E$29)/SUM('detailed-financials'!E$38,'detailed-financials'!E$26)*(12/'detailed-financials'!E$7)</f>
        <v>0.2362747267951199</v>
      </c>
      <c r="F37" s="56">
        <f>'detailed-financials'!F$51*(1-F$29)/SUM('detailed-financials'!F$38,'detailed-financials'!F$26)*(12/'detailed-financials'!F$7)</f>
        <v>0.1876344824916735</v>
      </c>
      <c r="G37" s="56">
        <f>'detailed-financials'!G$51*(1-G$29)/SUM('detailed-financials'!G$38,'detailed-financials'!G$26)*(12/'detailed-financials'!G$7)</f>
        <v>0.14226026706675246</v>
      </c>
      <c r="H37" s="56">
        <f>'detailed-financials'!H$51*(1-H$29)/SUM('detailed-financials'!H$38,'detailed-financials'!H$26)*(12/'detailed-financials'!H$7)</f>
        <v>0.16075405933131662</v>
      </c>
      <c r="I37" s="56">
        <f>'detailed-financials'!I$51*(1-I$29)/SUM('detailed-financials'!I$38,'detailed-financials'!I$26)*(12/'detailed-financials'!I$7)</f>
        <v>9.7365268841032526E-2</v>
      </c>
      <c r="J37" s="56">
        <f>'detailed-financials'!J$51*(1-J$29)/SUM('detailed-financials'!J$38,'detailed-financials'!J$26)*(12/'detailed-financials'!J$7)</f>
        <v>0.11149720964126826</v>
      </c>
      <c r="K37" s="56">
        <f>'detailed-financials'!K$51*(1-K$29)/SUM('detailed-financials'!K$38,'detailed-financials'!K$26)*(12/'detailed-financials'!K$7)</f>
        <v>0.12104021883263777</v>
      </c>
      <c r="L37" s="81">
        <v>0.13673411904775248</v>
      </c>
      <c r="M37" s="81">
        <v>0.13940504988072916</v>
      </c>
      <c r="N37" s="81">
        <v>0.12267229278297598</v>
      </c>
      <c r="O37" s="81">
        <v>0.11865198638592092</v>
      </c>
      <c r="P37" s="81">
        <v>0.1116972539550196</v>
      </c>
      <c r="Q37" s="81">
        <v>0.10553220480725582</v>
      </c>
      <c r="R37" s="81">
        <v>0.10098386852372655</v>
      </c>
    </row>
    <row r="38" spans="2:18" x14ac:dyDescent="0.3">
      <c r="B38" s="1" t="s">
        <v>153</v>
      </c>
      <c r="E38" s="56">
        <f>'detailed-financials'!E$51*(1-E$29)/SUM(WACC!$E$13,'detailed-financials'!E$26)*(12/'detailed-financials'!E$7)</f>
        <v>8.3623128339191943E-2</v>
      </c>
      <c r="F38" s="56">
        <f>'detailed-financials'!F$51*(1-F$29)/SUM(WACC!$E$13,'detailed-financials'!F$26)*(12/'detailed-financials'!F$7)</f>
        <v>8.8617660099096399E-2</v>
      </c>
      <c r="G38" s="56">
        <f>'detailed-financials'!G$51*(1-G$29)/SUM(WACC!$E$13,'detailed-financials'!G$26)*(12/'detailed-financials'!G$7)</f>
        <v>8.880967608681925E-2</v>
      </c>
      <c r="H38" s="56">
        <f>'detailed-financials'!H$51*(1-H$29)/SUM(WACC!$E$13,'detailed-financials'!H$26)*(12/'detailed-financials'!H$7)</f>
        <v>0.12068583558291986</v>
      </c>
      <c r="I38" s="56">
        <f>'detailed-financials'!I$51*(1-I$29)/SUM(WACC!$E$13,'detailed-financials'!I$26)*(12/'detailed-financials'!I$7)</f>
        <v>8.4689806590736827E-2</v>
      </c>
      <c r="J38" s="56">
        <f>'detailed-financials'!J$51*(1-J$29)/SUM(WACC!$E$13,'detailed-financials'!J$26)*(12/'detailed-financials'!J$7)</f>
        <v>0.10913788904690741</v>
      </c>
      <c r="K38" s="56">
        <f>'detailed-financials'!K$51*(1-K$29)/SUM(WACC!$E$13,'detailed-financials'!K$26)*(12/'detailed-financials'!K$7)</f>
        <v>0.12411039372321529</v>
      </c>
      <c r="L38" s="81">
        <v>0.14652214649121295</v>
      </c>
      <c r="M38" s="81">
        <v>0.1650239997843774</v>
      </c>
      <c r="N38" s="81">
        <v>0.15634405322087508</v>
      </c>
      <c r="O38" s="81">
        <v>0.16038934616474862</v>
      </c>
      <c r="P38" s="81">
        <v>0.15862646314769982</v>
      </c>
      <c r="Q38" s="81">
        <v>0.15574366956060268</v>
      </c>
      <c r="R38" s="81">
        <v>0.15321508389899735</v>
      </c>
    </row>
    <row r="39" spans="2:18" x14ac:dyDescent="0.3">
      <c r="B39" s="40"/>
    </row>
    <row r="40" spans="2:18" x14ac:dyDescent="0.3">
      <c r="B40" s="2" t="s">
        <v>194</v>
      </c>
      <c r="C40" s="3"/>
      <c r="D40" s="5"/>
      <c r="E40" s="4"/>
      <c r="F40" s="4"/>
      <c r="G40" s="4"/>
      <c r="H40" s="4"/>
      <c r="I40" s="4"/>
      <c r="J40" s="4"/>
      <c r="K40" s="4"/>
      <c r="L40" s="4"/>
      <c r="M40" s="4"/>
      <c r="N40" s="4"/>
      <c r="O40" s="5"/>
      <c r="P40" s="5"/>
      <c r="Q40" s="5"/>
      <c r="R40" s="5"/>
    </row>
    <row r="41" spans="2:18" x14ac:dyDescent="0.3">
      <c r="B41" s="40"/>
    </row>
    <row r="42" spans="2:18" x14ac:dyDescent="0.3">
      <c r="B42" s="48" t="s">
        <v>47</v>
      </c>
      <c r="C42" s="48"/>
      <c r="D42" s="48"/>
      <c r="E42" s="52">
        <f>'detailed-financials'!E44</f>
        <v>38.997504999999997</v>
      </c>
      <c r="F42" s="52">
        <f>'detailed-financials'!F44</f>
        <v>45.302</v>
      </c>
      <c r="G42" s="52">
        <f>'detailed-financials'!G44</f>
        <v>56.505000000000003</v>
      </c>
      <c r="H42" s="52">
        <f>'detailed-financials'!H44</f>
        <v>78.510000000000005</v>
      </c>
      <c r="I42" s="52">
        <f>'detailed-financials'!I44</f>
        <v>86.751999999999995</v>
      </c>
      <c r="J42" s="52">
        <f>'detailed-financials'!J44</f>
        <v>118.23699999999999</v>
      </c>
      <c r="K42" s="52">
        <f>'detailed-financials'!K44</f>
        <v>68.61</v>
      </c>
      <c r="L42" s="49">
        <f>'detailed-financials'!L44</f>
        <v>71.958775072954097</v>
      </c>
      <c r="M42" s="49">
        <f>'detailed-financials'!M44</f>
        <v>155.43095415758086</v>
      </c>
      <c r="N42" s="49">
        <f>'detailed-financials'!N44</f>
        <v>164.75681140703571</v>
      </c>
      <c r="O42" s="49">
        <f>'detailed-financials'!O44</f>
        <v>171.34708386331715</v>
      </c>
      <c r="P42" s="49">
        <f>'detailed-financials'!P44</f>
        <v>174.77402554058349</v>
      </c>
      <c r="Q42" s="49">
        <f>'detailed-financials'!Q44</f>
        <v>178.26950605139515</v>
      </c>
      <c r="R42" s="49">
        <f>'detailed-financials'!R44</f>
        <v>181.83489617242307</v>
      </c>
    </row>
    <row r="43" spans="2:18" x14ac:dyDescent="0.3">
      <c r="B43" s="40" t="s">
        <v>49</v>
      </c>
      <c r="C43" s="40"/>
      <c r="D43" s="40"/>
      <c r="E43" s="53">
        <f>'detailed-financials'!E46</f>
        <v>30.420319999999997</v>
      </c>
      <c r="F43" s="53">
        <f>'detailed-financials'!F46</f>
        <v>33.953000000000003</v>
      </c>
      <c r="G43" s="53">
        <f>'detailed-financials'!G46</f>
        <v>40.337000000000003</v>
      </c>
      <c r="H43" s="53">
        <f>'detailed-financials'!H46</f>
        <v>62.807000000000002</v>
      </c>
      <c r="I43" s="53">
        <f>'detailed-financials'!I46</f>
        <v>67.951999999999998</v>
      </c>
      <c r="J43" s="53">
        <f>'detailed-financials'!J46</f>
        <v>91.480999999999995</v>
      </c>
      <c r="K43" s="53">
        <f>'detailed-financials'!K46</f>
        <v>52.356999999999999</v>
      </c>
      <c r="L43" s="46">
        <f>'detailed-financials'!L46</f>
        <v>54.912484863644622</v>
      </c>
      <c r="M43" s="46">
        <f>'detailed-financials'!M46</f>
        <v>118.61096730547239</v>
      </c>
      <c r="N43" s="46">
        <f>'detailed-financials'!N46</f>
        <v>125.72762534380072</v>
      </c>
      <c r="O43" s="46">
        <f>'detailed-financials'!O46</f>
        <v>130.75673035755278</v>
      </c>
      <c r="P43" s="46">
        <f>'detailed-financials'!P46</f>
        <v>133.37186496470383</v>
      </c>
      <c r="Q43" s="46">
        <f>'detailed-financials'!Q46</f>
        <v>136.03930226399791</v>
      </c>
      <c r="R43" s="46">
        <f>'detailed-financials'!R46</f>
        <v>139.54734221732656</v>
      </c>
    </row>
    <row r="44" spans="2:18" x14ac:dyDescent="0.3">
      <c r="B44" s="50" t="s">
        <v>168</v>
      </c>
      <c r="C44" s="50"/>
      <c r="D44" s="50"/>
      <c r="E44" s="54">
        <f>E43/E$42</f>
        <v>0.78005810884568128</v>
      </c>
      <c r="F44" s="54">
        <f t="shared" ref="F44:R44" si="6">F43/F$42</f>
        <v>0.7494812591055583</v>
      </c>
      <c r="G44" s="54">
        <f t="shared" si="6"/>
        <v>0.71386602955490663</v>
      </c>
      <c r="H44" s="54">
        <f t="shared" si="6"/>
        <v>0.79998726276907395</v>
      </c>
      <c r="I44" s="54">
        <f t="shared" si="6"/>
        <v>0.78329029878273704</v>
      </c>
      <c r="J44" s="54">
        <f t="shared" si="6"/>
        <v>0.77370873753562763</v>
      </c>
      <c r="K44" s="54">
        <f t="shared" si="6"/>
        <v>0.76311033377058735</v>
      </c>
      <c r="L44" s="51">
        <f t="shared" si="6"/>
        <v>0.76311033377058735</v>
      </c>
      <c r="M44" s="51">
        <f t="shared" si="6"/>
        <v>0.76311033377058735</v>
      </c>
      <c r="N44" s="51">
        <f t="shared" si="6"/>
        <v>0.76311033377058723</v>
      </c>
      <c r="O44" s="51">
        <f t="shared" si="6"/>
        <v>0.76311033377058746</v>
      </c>
      <c r="P44" s="51">
        <f t="shared" si="6"/>
        <v>0.76311033377058735</v>
      </c>
      <c r="Q44" s="51">
        <f t="shared" si="6"/>
        <v>0.76311033377058746</v>
      </c>
      <c r="R44" s="51">
        <f t="shared" si="6"/>
        <v>0.76743983225861234</v>
      </c>
    </row>
    <row r="45" spans="2:18" x14ac:dyDescent="0.3">
      <c r="B45" s="40" t="s">
        <v>51</v>
      </c>
      <c r="C45" s="40"/>
      <c r="D45" s="40"/>
      <c r="E45" s="53">
        <f>'detailed-financials'!E49</f>
        <v>13.939570999999997</v>
      </c>
      <c r="F45" s="53">
        <f>'detailed-financials'!F49</f>
        <v>15.834000000000003</v>
      </c>
      <c r="G45" s="53">
        <f>'detailed-financials'!G49</f>
        <v>18.359000000000002</v>
      </c>
      <c r="H45" s="53">
        <f>'detailed-financials'!H49</f>
        <v>31.175000000000001</v>
      </c>
      <c r="I45" s="53">
        <f>'detailed-financials'!I49</f>
        <v>24.713000000000001</v>
      </c>
      <c r="J45" s="53">
        <f>'detailed-financials'!J49</f>
        <v>35.990999999999993</v>
      </c>
      <c r="K45" s="53">
        <f>'detailed-financials'!K49</f>
        <v>21.773</v>
      </c>
      <c r="L45" s="46">
        <f>'detailed-financials'!L49</f>
        <v>22.235961307625935</v>
      </c>
      <c r="M45" s="46">
        <f>'detailed-financials'!M49</f>
        <v>48.029676424472029</v>
      </c>
      <c r="N45" s="46">
        <f>'detailed-financials'!N49</f>
        <v>50.911457009940335</v>
      </c>
      <c r="O45" s="46">
        <f>'detailed-financials'!O49</f>
        <v>52.947915290337974</v>
      </c>
      <c r="P45" s="46">
        <f>'detailed-financials'!P49</f>
        <v>54.006873596144729</v>
      </c>
      <c r="Q45" s="46">
        <f>'detailed-financials'!Q49</f>
        <v>55.087011068067639</v>
      </c>
      <c r="R45" s="46">
        <f>'detailed-financials'!R49</f>
        <v>56.976005197477662</v>
      </c>
    </row>
    <row r="46" spans="2:18" x14ac:dyDescent="0.3">
      <c r="B46" s="50" t="s">
        <v>170</v>
      </c>
      <c r="C46" s="50"/>
      <c r="D46" s="50"/>
      <c r="E46" s="54">
        <f>E45/E$42</f>
        <v>0.35744776492752545</v>
      </c>
      <c r="F46" s="54">
        <f t="shared" ref="F46" si="7">F45/F$42</f>
        <v>0.34952099245066448</v>
      </c>
      <c r="G46" s="54">
        <f t="shared" ref="G46" si="8">G45/G$42</f>
        <v>0.32490930006194146</v>
      </c>
      <c r="H46" s="54">
        <f t="shared" ref="H46" si="9">H45/H$42</f>
        <v>0.39708317411794675</v>
      </c>
      <c r="I46" s="54">
        <f t="shared" ref="I46" si="10">I45/I$42</f>
        <v>0.28486951309479902</v>
      </c>
      <c r="J46" s="54">
        <f t="shared" ref="J46" si="11">J45/J$42</f>
        <v>0.30439710073834753</v>
      </c>
      <c r="K46" s="54">
        <f t="shared" ref="K46" si="12">K45/K$42</f>
        <v>0.31734441043579653</v>
      </c>
      <c r="L46" s="51">
        <f t="shared" ref="L46" si="13">L45/L$42</f>
        <v>0.30900972515280323</v>
      </c>
      <c r="M46" s="51">
        <f t="shared" ref="M46" si="14">M45/M$42</f>
        <v>0.30900972515280328</v>
      </c>
      <c r="N46" s="51">
        <f t="shared" ref="N46" si="15">N45/N$42</f>
        <v>0.30900972515280317</v>
      </c>
      <c r="O46" s="51">
        <f t="shared" ref="O46" si="16">O45/O$42</f>
        <v>0.30900972515280334</v>
      </c>
      <c r="P46" s="51">
        <f t="shared" ref="P46" si="17">P45/P$42</f>
        <v>0.30900972515280328</v>
      </c>
      <c r="Q46" s="51">
        <f t="shared" ref="Q46" si="18">Q45/Q$42</f>
        <v>0.30900972515280339</v>
      </c>
      <c r="R46" s="51">
        <f t="shared" ref="R46" si="19">R45/R$42</f>
        <v>0.31333922364082828</v>
      </c>
    </row>
    <row r="47" spans="2:18" x14ac:dyDescent="0.3">
      <c r="B47" s="40" t="s">
        <v>53</v>
      </c>
      <c r="C47" s="40"/>
      <c r="D47" s="40"/>
      <c r="E47" s="53">
        <f>'detailed-financials'!E51</f>
        <v>13.486476999999997</v>
      </c>
      <c r="F47" s="53">
        <f>'detailed-financials'!F51</f>
        <v>15.074000000000003</v>
      </c>
      <c r="G47" s="53">
        <f>'detailed-financials'!G51</f>
        <v>16.785</v>
      </c>
      <c r="H47" s="53">
        <f>'detailed-financials'!H51</f>
        <v>24.593</v>
      </c>
      <c r="I47" s="53">
        <f>'detailed-financials'!I51</f>
        <v>18.05</v>
      </c>
      <c r="J47" s="53">
        <f>'detailed-financials'!J51</f>
        <v>27.349999999999994</v>
      </c>
      <c r="K47" s="53">
        <f>'detailed-financials'!K51</f>
        <v>16.137999999999998</v>
      </c>
      <c r="L47" s="46">
        <f>'detailed-financials'!L51</f>
        <v>18.385761307625934</v>
      </c>
      <c r="M47" s="46">
        <f>'detailed-financials'!M51</f>
        <v>43.822516424472028</v>
      </c>
      <c r="N47" s="46">
        <f>'detailed-financials'!N51</f>
        <v>45.246649009940334</v>
      </c>
      <c r="O47" s="46">
        <f>'detailed-financials'!O51</f>
        <v>46.071007290337974</v>
      </c>
      <c r="P47" s="46">
        <f>'detailed-financials'!P51</f>
        <v>46.113384364144729</v>
      </c>
      <c r="Q47" s="46">
        <f>'detailed-financials'!Q51</f>
        <v>46.332417593827635</v>
      </c>
      <c r="R47" s="46">
        <f>'detailed-financials'!R51</f>
        <v>47.483732287672858</v>
      </c>
    </row>
    <row r="48" spans="2:18" x14ac:dyDescent="0.3">
      <c r="B48" s="50" t="s">
        <v>174</v>
      </c>
      <c r="C48" s="50"/>
      <c r="D48" s="50"/>
      <c r="E48" s="54">
        <f>E47/E$42</f>
        <v>0.34582922676719957</v>
      </c>
      <c r="F48" s="54">
        <f t="shared" ref="F48" si="20">F47/F$42</f>
        <v>0.33274469118361227</v>
      </c>
      <c r="G48" s="54">
        <f t="shared" ref="G48" si="21">G47/G$42</f>
        <v>0.29705335810990174</v>
      </c>
      <c r="H48" s="54">
        <f t="shared" ref="H48" si="22">H47/H$42</f>
        <v>0.31324672016303656</v>
      </c>
      <c r="I48" s="54">
        <f t="shared" ref="I48" si="23">I47/I$42</f>
        <v>0.20806436739210626</v>
      </c>
      <c r="J48" s="54">
        <f t="shared" ref="J48" si="24">J47/J$42</f>
        <v>0.23131507057858366</v>
      </c>
      <c r="K48" s="54">
        <f t="shared" ref="K48" si="25">K47/K$42</f>
        <v>0.23521352572511292</v>
      </c>
      <c r="L48" s="51">
        <f t="shared" ref="L48" si="26">L47/L$42</f>
        <v>0.25550408951494608</v>
      </c>
      <c r="M48" s="51">
        <f t="shared" ref="M48" si="27">M47/M$42</f>
        <v>0.28194201510236733</v>
      </c>
      <c r="N48" s="51">
        <f t="shared" ref="N48" si="28">N47/N$42</f>
        <v>0.27462687960230903</v>
      </c>
      <c r="O48" s="51">
        <f t="shared" ref="O48" si="29">O47/O$42</f>
        <v>0.26887535084687303</v>
      </c>
      <c r="P48" s="51">
        <f t="shared" ref="P48" si="30">P47/P$42</f>
        <v>0.26384575294592011</v>
      </c>
      <c r="Q48" s="51">
        <f t="shared" ref="Q48" si="31">Q47/Q$42</f>
        <v>0.25990097027850623</v>
      </c>
      <c r="R48" s="51">
        <f t="shared" ref="R48" si="32">R47/R$42</f>
        <v>0.26113652157640244</v>
      </c>
    </row>
    <row r="49" spans="2:18" x14ac:dyDescent="0.3">
      <c r="B49" s="40" t="s">
        <v>56</v>
      </c>
      <c r="C49" s="40"/>
      <c r="D49" s="40"/>
      <c r="E49" s="53">
        <f>'detailed-financials'!E56</f>
        <v>11.208152999999996</v>
      </c>
      <c r="F49" s="53">
        <f>'detailed-financials'!F56</f>
        <v>12.487000000000004</v>
      </c>
      <c r="G49" s="53">
        <f>'detailed-financials'!G56</f>
        <v>11.405000000000001</v>
      </c>
      <c r="H49" s="53">
        <f>'detailed-financials'!H56</f>
        <v>17.988</v>
      </c>
      <c r="I49" s="53">
        <f>'detailed-financials'!I56</f>
        <v>12.315000000000001</v>
      </c>
      <c r="J49" s="53">
        <f>'detailed-financials'!J56</f>
        <v>19.147999999999996</v>
      </c>
      <c r="K49" s="53">
        <f>'detailed-financials'!K56</f>
        <v>10.903999999999998</v>
      </c>
      <c r="L49" s="46">
        <f>'detailed-financials'!L56</f>
        <v>9.41154287082162</v>
      </c>
      <c r="M49" s="46">
        <f>'detailed-financials'!M56</f>
        <v>27.53343847430931</v>
      </c>
      <c r="N49" s="46">
        <f>'detailed-financials'!N56</f>
        <v>28.230247820805886</v>
      </c>
      <c r="O49" s="46">
        <f>'detailed-financials'!O56</f>
        <v>28.564941158719218</v>
      </c>
      <c r="P49" s="46">
        <f>'detailed-financials'!P56</f>
        <v>28.418248714079535</v>
      </c>
      <c r="Q49" s="46">
        <f>'detailed-financials'!Q56</f>
        <v>28.459187845161136</v>
      </c>
      <c r="R49" s="46">
        <f>'detailed-financials'!R56</f>
        <v>29.151479943803814</v>
      </c>
    </row>
    <row r="50" spans="2:18" x14ac:dyDescent="0.3">
      <c r="B50" s="21" t="s">
        <v>169</v>
      </c>
      <c r="C50" s="21"/>
      <c r="D50" s="21"/>
      <c r="E50" s="55">
        <f>E49/E$42</f>
        <v>0.28740692513533872</v>
      </c>
      <c r="F50" s="55">
        <f t="shared" ref="F50" si="33">F49/F$42</f>
        <v>0.27563904463379107</v>
      </c>
      <c r="G50" s="55">
        <f t="shared" ref="G50" si="34">G49/G$42</f>
        <v>0.2018405450845058</v>
      </c>
      <c r="H50" s="55">
        <f t="shared" ref="H50" si="35">H49/H$42</f>
        <v>0.22911730989682841</v>
      </c>
      <c r="I50" s="55">
        <f t="shared" ref="I50" si="36">I49/I$42</f>
        <v>0.14195638140907416</v>
      </c>
      <c r="J50" s="55">
        <f t="shared" ref="J50" si="37">J49/J$42</f>
        <v>0.16194592217326215</v>
      </c>
      <c r="K50" s="55">
        <f t="shared" ref="K50" si="38">K49/K$42</f>
        <v>0.15892727007724819</v>
      </c>
      <c r="L50" s="47">
        <f t="shared" ref="L50" si="39">L49/L$42</f>
        <v>0.13079075986604688</v>
      </c>
      <c r="M50" s="47">
        <f t="shared" ref="M50" si="40">M49/M$42</f>
        <v>0.17714256869577621</v>
      </c>
      <c r="N50" s="47">
        <f t="shared" ref="N50" si="41">N49/N$42</f>
        <v>0.1713449512631218</v>
      </c>
      <c r="O50" s="47">
        <f t="shared" ref="O50" si="42">O49/O$42</f>
        <v>0.16670806712710298</v>
      </c>
      <c r="P50" s="47">
        <f t="shared" ref="P50" si="43">P49/P$42</f>
        <v>0.16259995514883108</v>
      </c>
      <c r="Q50" s="47">
        <f t="shared" ref="Q50" si="44">Q49/Q$42</f>
        <v>0.15964136814827065</v>
      </c>
      <c r="R50" s="47">
        <f t="shared" ref="R50" si="45">R49/R$42</f>
        <v>0.16031840178884707</v>
      </c>
    </row>
    <row r="51" spans="2:18" x14ac:dyDescent="0.3">
      <c r="B51" s="40"/>
    </row>
    <row r="52" spans="2:18" x14ac:dyDescent="0.3">
      <c r="B52" s="62" t="s">
        <v>171</v>
      </c>
      <c r="C52" s="62"/>
      <c r="D52" s="62"/>
      <c r="E52" s="66"/>
      <c r="F52" s="66">
        <f>'detailed-financials'!F62</f>
        <v>11.1</v>
      </c>
      <c r="G52" s="66">
        <f>'detailed-financials'!G62</f>
        <v>10.199999999999999</v>
      </c>
      <c r="H52" s="66">
        <f>'detailed-financials'!H62</f>
        <v>16</v>
      </c>
      <c r="I52" s="66">
        <f>'detailed-financials'!I62</f>
        <v>10.6</v>
      </c>
      <c r="J52" s="66">
        <f>'detailed-financials'!J62</f>
        <v>16.2</v>
      </c>
      <c r="K52" s="66">
        <f>'detailed-financials'!K62</f>
        <v>9.3000000000000007</v>
      </c>
      <c r="L52" s="67">
        <f>'detailed-financials'!L62</f>
        <v>7.9758837888318812</v>
      </c>
      <c r="M52" s="67">
        <f>'detailed-financials'!M62</f>
        <v>23.333422435855347</v>
      </c>
      <c r="N52" s="67">
        <f>'detailed-financials'!N62</f>
        <v>23.923938831191428</v>
      </c>
      <c r="O52" s="67">
        <f>'detailed-financials'!O62</f>
        <v>24.207577253151882</v>
      </c>
      <c r="P52" s="67">
        <f>'detailed-financials'!P62</f>
        <v>24.083261622101301</v>
      </c>
      <c r="Q52" s="67">
        <f>'detailed-financials'!Q62</f>
        <v>24.117955800984014</v>
      </c>
      <c r="R52" s="67">
        <f>'detailed-financials'!R62</f>
        <v>24.704644020172722</v>
      </c>
    </row>
    <row r="53" spans="2:18" x14ac:dyDescent="0.3">
      <c r="B53" s="62" t="s">
        <v>172</v>
      </c>
      <c r="C53" s="62"/>
      <c r="D53" s="62"/>
      <c r="E53" s="63"/>
      <c r="F53" s="64">
        <f>WACC!$E$14/F52*F20/12</f>
        <v>10.18018018018018</v>
      </c>
      <c r="G53" s="64">
        <f>WACC!$E$14/G52*G20/12</f>
        <v>11.078431372549021</v>
      </c>
      <c r="H53" s="64">
        <f>WACC!$E$14/H52*H20/12</f>
        <v>7.0625</v>
      </c>
      <c r="I53" s="64">
        <f>WACC!$E$14/I52*I20/12</f>
        <v>10.660377358490566</v>
      </c>
      <c r="J53" s="64">
        <f>WACC!$E$14/J52*J20/12</f>
        <v>6.9753086419753076</v>
      </c>
      <c r="K53" s="64">
        <f>WACC!$E$14/K52*K20/12</f>
        <v>6.075268817204301</v>
      </c>
      <c r="L53" s="65">
        <f>WACC!$E$14/L52*L20/12</f>
        <v>7.0838544662741114</v>
      </c>
      <c r="M53" s="65">
        <f>WACC!$E$14/M52*M20/12</f>
        <v>4.8428386496083977</v>
      </c>
      <c r="N53" s="65">
        <f>WACC!$E$14/N52*N20/12</f>
        <v>4.723302496187352</v>
      </c>
      <c r="O53" s="65">
        <f>WACC!$E$14/O52*O20/12</f>
        <v>4.6679599043843654</v>
      </c>
      <c r="P53" s="65">
        <f>WACC!$E$14/P52*P20/12</f>
        <v>4.6920554936919121</v>
      </c>
      <c r="Q53" s="65">
        <f>WACC!$E$14/Q52*Q20/12</f>
        <v>4.685305874695632</v>
      </c>
      <c r="R53" s="65">
        <f>WACC!$E$14/R52*R20/12</f>
        <v>4.5740387883237332</v>
      </c>
    </row>
    <row r="55" spans="2:18" x14ac:dyDescent="0.3">
      <c r="B55" s="62" t="s">
        <v>176</v>
      </c>
      <c r="C55" s="62"/>
      <c r="D55" s="62"/>
      <c r="E55" s="64">
        <f>SUM(WACC!$E$13,-summary!$D$84)/E47*E20/12</f>
        <v>15.324832422878123</v>
      </c>
      <c r="F55" s="64">
        <f>SUM(WACC!$E$13,-summary!$D$84)/F47*F20/12</f>
        <v>13.710892928220774</v>
      </c>
      <c r="G55" s="64">
        <f>SUM(WACC!$E$13,-summary!$D$84)/G47*G20/12</f>
        <v>12.313255883229074</v>
      </c>
      <c r="H55" s="64">
        <f>SUM(WACC!$E$13,-summary!$D$84)/H47*H20/12</f>
        <v>8.4039360793721798</v>
      </c>
      <c r="I55" s="64">
        <f>SUM(WACC!$E$13,-summary!$D$84)/I47*I20/12</f>
        <v>11.450304709141273</v>
      </c>
      <c r="J55" s="64">
        <f>SUM(WACC!$E$13,-summary!$D$84)/J47*J20/12</f>
        <v>7.5567824497257776</v>
      </c>
      <c r="K55" s="64">
        <f>SUM(WACC!$E$13,-summary!$D$84)/K47*K20/12</f>
        <v>6.4034576775312937</v>
      </c>
      <c r="L55" s="65">
        <f>SUM(WACC!$E$13,-summary!$D$84)/L47*L20/12</f>
        <v>5.6205994557939611</v>
      </c>
      <c r="M55" s="65">
        <f>SUM(WACC!$E$13,-summary!$D$84)/M47*M20/12</f>
        <v>4.7162512987178387</v>
      </c>
      <c r="N55" s="65">
        <f>SUM(WACC!$E$13,-summary!$D$84)/N47*N20/12</f>
        <v>4.5678078824046056</v>
      </c>
      <c r="O55" s="65">
        <f>SUM(WACC!$E$13,-summary!$D$84)/O47*O20/12</f>
        <v>4.4860751295825168</v>
      </c>
      <c r="P55" s="65">
        <f>SUM(WACC!$E$13,-summary!$D$84)/P47*P20/12</f>
        <v>4.4819525361209793</v>
      </c>
      <c r="Q55" s="65">
        <f>SUM(WACC!$E$13,-summary!$D$84)/Q47*Q20/12</f>
        <v>4.4607644222634617</v>
      </c>
      <c r="R55" s="65">
        <f>SUM(WACC!$E$13,-summary!$D$84)/R47*R20/12</f>
        <v>4.3526064621010256</v>
      </c>
    </row>
    <row r="56" spans="2:18" x14ac:dyDescent="0.3">
      <c r="B56" s="62" t="s">
        <v>177</v>
      </c>
      <c r="C56" s="62"/>
      <c r="D56" s="62"/>
      <c r="E56" s="64">
        <f>summary!$D$83/E47*E20/12</f>
        <v>18.845229877817509</v>
      </c>
      <c r="F56" s="64">
        <f>summary!$D$83/F47*F20/12</f>
        <v>16.860538629885799</v>
      </c>
      <c r="G56" s="64">
        <f>summary!$D$83/G47*G20/12</f>
        <v>15.141838505028216</v>
      </c>
      <c r="H56" s="64">
        <f>summary!$D$83/H47*H20/12</f>
        <v>10.334475635623901</v>
      </c>
      <c r="I56" s="64">
        <f>summary!$D$83/I47*I20/12</f>
        <v>14.080651485146737</v>
      </c>
      <c r="J56" s="64">
        <f>summary!$D$83/J47*J20/12</f>
        <v>9.2927151483326753</v>
      </c>
      <c r="K56" s="64">
        <f>summary!$D$83/K47*K20/12</f>
        <v>7.8744503441225255</v>
      </c>
      <c r="L56" s="65">
        <f>summary!$D$83/L47*L20/12</f>
        <v>6.9117551091420246</v>
      </c>
      <c r="M56" s="65">
        <f>summary!$D$83/M47*M20/12</f>
        <v>5.799661453603087</v>
      </c>
      <c r="N56" s="65">
        <f>summary!$D$83/N47*N20/12</f>
        <v>5.6171178389600209</v>
      </c>
      <c r="O56" s="65">
        <f>summary!$D$83/O47*O20/12</f>
        <v>5.5166095610894148</v>
      </c>
      <c r="P56" s="65">
        <f>summary!$D$83/P47*P20/12</f>
        <v>5.5115399316584615</v>
      </c>
      <c r="Q56" s="65">
        <f>summary!$D$83/Q47*Q20/12</f>
        <v>5.4854845161534804</v>
      </c>
      <c r="R56" s="65">
        <f>summary!$D$83/R47*R20/12</f>
        <v>5.3524806720570153</v>
      </c>
    </row>
    <row r="57" spans="2:18" x14ac:dyDescent="0.3">
      <c r="B57" s="62"/>
      <c r="C57" s="62"/>
      <c r="D57" s="62"/>
      <c r="E57" s="68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</row>
    <row r="58" spans="2:18" x14ac:dyDescent="0.3">
      <c r="B58" s="62" t="s">
        <v>173</v>
      </c>
      <c r="C58" s="62"/>
      <c r="D58" s="62"/>
      <c r="E58" s="66"/>
      <c r="F58" s="66">
        <f>SUM('detailed-financials'!F75,'detailed-financials'!F81,'detailed-financials'!F82:F83,'detailed-financials'!F85,'detailed-financials'!F87:F88,'detailed-financials'!F93)/F49*F52</f>
        <v>5.5522223112036562</v>
      </c>
      <c r="G58" s="66">
        <f>SUM('detailed-financials'!G75,'detailed-financials'!G81,'detailed-financials'!G82:G83,'detailed-financials'!G85,'detailed-financials'!G87:G88,'detailed-financials'!G93)/G49*G52</f>
        <v>2.4263568610258521</v>
      </c>
      <c r="H58" s="66">
        <f>SUM('detailed-financials'!H75,'detailed-financials'!H81,'detailed-financials'!H82:H83,'detailed-financials'!H85,'detailed-financials'!H87:H88,'detailed-financials'!H93)/H49*H52</f>
        <v>-0.45541472092505941</v>
      </c>
      <c r="I58" s="66">
        <f>SUM('detailed-financials'!I75,'detailed-financials'!I81,'detailed-financials'!I82:I83,'detailed-financials'!I85,'detailed-financials'!I87:I88,'detailed-financials'!I93)/I49*I52</f>
        <v>6.1198538367844062</v>
      </c>
      <c r="J58" s="66">
        <f>SUM('detailed-financials'!J75,'detailed-financials'!J81,'detailed-financials'!J82:J83,'detailed-financials'!J85,'detailed-financials'!J87:J88,'detailed-financials'!J93)/J49*J52</f>
        <v>0.91541675370796061</v>
      </c>
      <c r="K58" s="66">
        <f>SUM('detailed-financials'!K75,'detailed-financials'!K81,'detailed-financials'!K82:K83,'detailed-financials'!K85,'detailed-financials'!K87:K88,'detailed-financials'!K93)/K49*K52</f>
        <v>-4.3796313279530459</v>
      </c>
      <c r="L58" s="67">
        <f>SUM('detailed-financials'!L75,'detailed-financials'!L81,'detailed-financials'!L82:L83,'detailed-financials'!L85,'detailed-financials'!L87:L88,'detailed-financials'!L93)/L49*L52</f>
        <v>-9.9819069987985607</v>
      </c>
      <c r="M58" s="67">
        <f>SUM('detailed-financials'!M75,'detailed-financials'!M81,'detailed-financials'!M82:M83,'detailed-financials'!M85,'detailed-financials'!M87:M88,'detailed-financials'!M93)/M49*M52</f>
        <v>7.8980059525059296</v>
      </c>
      <c r="N58" s="67">
        <f>SUM('detailed-financials'!N75,'detailed-financials'!N81,'detailed-financials'!N82:N83,'detailed-financials'!N85,'detailed-financials'!N87:N88,'detailed-financials'!N93)/N49*N52</f>
        <v>11.288178937305528</v>
      </c>
      <c r="O58" s="67">
        <f>SUM('detailed-financials'!O75,'detailed-financials'!O81,'detailed-financials'!O82:O83,'detailed-financials'!O85,'detailed-financials'!O87:O88,'detailed-financials'!O93)/O49*O52</f>
        <v>14.60021131231996</v>
      </c>
      <c r="P58" s="67">
        <f>SUM('detailed-financials'!P75,'detailed-financials'!P81,'detailed-financials'!P82:P83,'detailed-financials'!P85,'detailed-financials'!P87:P88,'detailed-financials'!P93)/P49*P52</f>
        <v>17.678609292190707</v>
      </c>
      <c r="Q58" s="67">
        <f>SUM('detailed-financials'!Q75,'detailed-financials'!Q81,'detailed-financials'!Q82:Q83,'detailed-financials'!Q85,'detailed-financials'!Q87:Q88,'detailed-financials'!Q93)/Q49*Q52</f>
        <v>18.181171829221039</v>
      </c>
      <c r="R58" s="67">
        <f>SUM('detailed-financials'!R75,'detailed-financials'!R81,'detailed-financials'!R82:R83,'detailed-financials'!R85,'detailed-financials'!R87:R88,'detailed-financials'!R93)/R49*R52</f>
        <v>19.927879698423599</v>
      </c>
    </row>
    <row r="59" spans="2:18" x14ac:dyDescent="0.3">
      <c r="B59" s="62" t="s">
        <v>175</v>
      </c>
      <c r="C59" s="62"/>
      <c r="D59" s="62"/>
      <c r="E59" s="63"/>
      <c r="F59" s="64">
        <f>WACC!$E$14/F58*F20/12</f>
        <v>20.352211000625971</v>
      </c>
      <c r="G59" s="64">
        <f>WACC!$E$14/G58*G20/12</f>
        <v>46.57187976554453</v>
      </c>
      <c r="H59" s="64">
        <f>WACC!$E$14/H58*H20/12</f>
        <v>-248.12548828125094</v>
      </c>
      <c r="I59" s="64">
        <f>WACC!$E$14/I58*I20/12</f>
        <v>18.464493272828605</v>
      </c>
      <c r="J59" s="64">
        <f>WACC!$E$14/J58*J20/12</f>
        <v>123.4410442481913</v>
      </c>
      <c r="K59" s="64">
        <f>WACC!$E$14/K58*K20/12</f>
        <v>-12.900629246893025</v>
      </c>
      <c r="L59" s="65">
        <f>WACC!$E$14/L58*L20/12</f>
        <v>-5.6602410748567822</v>
      </c>
      <c r="M59" s="65">
        <f>WACC!$E$14/M58*M20/12</f>
        <v>14.307408816797187</v>
      </c>
      <c r="N59" s="65">
        <f>WACC!$E$14/N58*N20/12</f>
        <v>10.010472072386632</v>
      </c>
      <c r="O59" s="65">
        <f>WACC!$E$14/O58*O20/12</f>
        <v>7.7396140085074157</v>
      </c>
      <c r="P59" s="65">
        <f>WACC!$E$14/P58*P20/12</f>
        <v>6.3919055018607294</v>
      </c>
      <c r="Q59" s="65">
        <f>WACC!$E$14/Q58*Q20/12</f>
        <v>6.215220947331062</v>
      </c>
      <c r="R59" s="65">
        <f>WACC!$E$14/R58*R20/12</f>
        <v>5.6704477199819152</v>
      </c>
    </row>
    <row r="61" spans="2:18" x14ac:dyDescent="0.3">
      <c r="B61" s="2" t="str">
        <f>"Discounted Cash Flow ("&amp;cover!E10&amp;")"</f>
        <v>Discounted Cash Flow (£m)</v>
      </c>
      <c r="C61" s="2"/>
      <c r="D61" s="5" t="s">
        <v>121</v>
      </c>
      <c r="E61" s="5">
        <f t="shared" ref="E61:K61" si="46">YEAR(E63)</f>
        <v>2022</v>
      </c>
      <c r="F61" s="2">
        <f t="shared" si="46"/>
        <v>2023</v>
      </c>
      <c r="G61" s="2">
        <f t="shared" si="46"/>
        <v>2024</v>
      </c>
      <c r="H61" s="5">
        <f t="shared" si="46"/>
        <v>2025</v>
      </c>
      <c r="I61" s="5">
        <f t="shared" si="46"/>
        <v>2026</v>
      </c>
      <c r="J61" s="5">
        <f t="shared" si="46"/>
        <v>2027</v>
      </c>
      <c r="K61" s="5">
        <f t="shared" si="46"/>
        <v>2028</v>
      </c>
      <c r="L61" s="5" t="s">
        <v>122</v>
      </c>
    </row>
    <row r="62" spans="2:18" x14ac:dyDescent="0.3">
      <c r="E62" s="1"/>
    </row>
    <row r="63" spans="2:18" x14ac:dyDescent="0.3">
      <c r="B63" s="1" t="s">
        <v>18</v>
      </c>
      <c r="D63" s="16">
        <f>D10</f>
        <v>44989</v>
      </c>
      <c r="E63" s="16">
        <f>EOMONTH(D11,6)</f>
        <v>44926</v>
      </c>
      <c r="F63" s="16">
        <f t="shared" ref="F63:K63" si="47">DATE(YEAR(E63)+1,MONTH(E63),DAY(E63))</f>
        <v>45291</v>
      </c>
      <c r="G63" s="16">
        <f t="shared" si="47"/>
        <v>45657</v>
      </c>
      <c r="H63" s="16">
        <f t="shared" si="47"/>
        <v>46022</v>
      </c>
      <c r="I63" s="16">
        <f t="shared" si="47"/>
        <v>46387</v>
      </c>
      <c r="J63" s="16">
        <f t="shared" si="47"/>
        <v>46752</v>
      </c>
      <c r="K63" s="16">
        <f t="shared" si="47"/>
        <v>47118</v>
      </c>
      <c r="L63" s="16">
        <f>K63</f>
        <v>47118</v>
      </c>
    </row>
    <row r="64" spans="2:18" x14ac:dyDescent="0.3">
      <c r="B64" s="1" t="s">
        <v>161</v>
      </c>
      <c r="D64" s="16"/>
      <c r="E64" s="18">
        <f t="shared" ref="E64:L64" si="48">MIN(1,YEARFRAC($D$11,E63))</f>
        <v>0.5</v>
      </c>
      <c r="F64" s="18">
        <f t="shared" si="48"/>
        <v>1</v>
      </c>
      <c r="G64" s="18">
        <f t="shared" si="48"/>
        <v>1</v>
      </c>
      <c r="H64" s="18">
        <f t="shared" si="48"/>
        <v>1</v>
      </c>
      <c r="I64" s="18">
        <f t="shared" si="48"/>
        <v>1</v>
      </c>
      <c r="J64" s="18">
        <f t="shared" ref="J64:K64" si="49">MIN(1,YEARFRAC($D$11,J63))</f>
        <v>1</v>
      </c>
      <c r="K64" s="18">
        <f t="shared" si="49"/>
        <v>1</v>
      </c>
      <c r="L64" s="18">
        <f t="shared" si="48"/>
        <v>1</v>
      </c>
    </row>
    <row r="65" spans="2:13" x14ac:dyDescent="0.3">
      <c r="B65" s="1" t="s">
        <v>123</v>
      </c>
      <c r="E65" s="38">
        <f t="shared" ref="E65:K65" si="50">IF($D$63&gt;E63,0,YEARFRAC($D$63,E63))</f>
        <v>0</v>
      </c>
      <c r="F65" s="38">
        <f t="shared" si="50"/>
        <v>0.82499999999999996</v>
      </c>
      <c r="G65" s="38">
        <f t="shared" si="50"/>
        <v>1.825</v>
      </c>
      <c r="H65" s="38">
        <f t="shared" si="50"/>
        <v>2.8250000000000002</v>
      </c>
      <c r="I65" s="38">
        <f t="shared" si="50"/>
        <v>3.8250000000000002</v>
      </c>
      <c r="J65" s="38">
        <f t="shared" si="50"/>
        <v>4.8250000000000002</v>
      </c>
      <c r="K65" s="38">
        <f t="shared" si="50"/>
        <v>5.8250000000000002</v>
      </c>
      <c r="L65" s="38">
        <f>K65</f>
        <v>5.8250000000000002</v>
      </c>
    </row>
    <row r="66" spans="2:13" x14ac:dyDescent="0.3">
      <c r="B66" s="1" t="s">
        <v>53</v>
      </c>
      <c r="D66" s="19"/>
      <c r="E66" s="24">
        <f>INDEX('detailed-financials'!$E$51:$R$51,MATCH(summary!E63,'detailed-financials'!$E$6:$R$6,0))</f>
        <v>18.385761307625934</v>
      </c>
      <c r="F66" s="24">
        <f>INDEX('detailed-financials'!$E$51:$R$51,MATCH(summary!F63,'detailed-financials'!$E$6:$R$6,0))</f>
        <v>43.822516424472028</v>
      </c>
      <c r="G66" s="24">
        <f>INDEX('detailed-financials'!$E$51:$R$51,MATCH(summary!G63,'detailed-financials'!$E$6:$R$6,0))</f>
        <v>45.246649009940334</v>
      </c>
      <c r="H66" s="24">
        <f>INDEX('detailed-financials'!$E$51:$R$51,MATCH(summary!H63,'detailed-financials'!$E$6:$R$6,0))</f>
        <v>46.071007290337974</v>
      </c>
      <c r="I66" s="24">
        <f>INDEX('detailed-financials'!$E$51:$R$51,MATCH(summary!I63,'detailed-financials'!$E$6:$R$6,0))</f>
        <v>46.113384364144729</v>
      </c>
      <c r="J66" s="24">
        <f>INDEX('detailed-financials'!$E$51:$R$51,MATCH(summary!J63,'detailed-financials'!$E$6:$R$6,0))</f>
        <v>46.332417593827635</v>
      </c>
      <c r="K66" s="24">
        <f>INDEX('detailed-financials'!$E$51:$R$51,MATCH(summary!K63,'detailed-financials'!$E$6:$R$6,0))</f>
        <v>47.483732287672858</v>
      </c>
      <c r="L66" s="85">
        <f>K66*(1+$D$9)</f>
        <v>48.433406933426319</v>
      </c>
      <c r="M66" s="24"/>
    </row>
    <row r="67" spans="2:13" x14ac:dyDescent="0.3">
      <c r="B67" s="21" t="s">
        <v>180</v>
      </c>
      <c r="D67" s="19"/>
      <c r="E67" s="45">
        <f t="shared" ref="E67:I67" si="51">INDEX($L$29:$R$29,MATCH(E63,$L$19:$R$19,0))</f>
        <v>0.19</v>
      </c>
      <c r="F67" s="45">
        <f t="shared" si="51"/>
        <v>0.25</v>
      </c>
      <c r="G67" s="45">
        <f t="shared" si="51"/>
        <v>0.25</v>
      </c>
      <c r="H67" s="45">
        <f t="shared" si="51"/>
        <v>0.25</v>
      </c>
      <c r="I67" s="45">
        <f t="shared" si="51"/>
        <v>0.25</v>
      </c>
      <c r="J67" s="45">
        <f t="shared" ref="J67:K67" si="52">INDEX($L$29:$R$29,MATCH(J63,$L$19:$R$19,0))</f>
        <v>0.25</v>
      </c>
      <c r="K67" s="45">
        <f t="shared" si="52"/>
        <v>0.25</v>
      </c>
      <c r="L67" s="45">
        <f>INDEX($L$29:$R$29,MATCH(L63,$L$19:$R$19,0))</f>
        <v>0.25</v>
      </c>
      <c r="M67" s="45"/>
    </row>
    <row r="68" spans="2:13" x14ac:dyDescent="0.3">
      <c r="B68" s="1" t="s">
        <v>124</v>
      </c>
      <c r="D68" s="19"/>
      <c r="E68" s="24">
        <f>-E66*E67</f>
        <v>-3.4932946484489276</v>
      </c>
      <c r="F68" s="24">
        <f t="shared" ref="F68:I68" si="53">-F66*F67</f>
        <v>-10.955629106118007</v>
      </c>
      <c r="G68" s="24">
        <f t="shared" si="53"/>
        <v>-11.311662252485084</v>
      </c>
      <c r="H68" s="24">
        <f t="shared" si="53"/>
        <v>-11.517751822584493</v>
      </c>
      <c r="I68" s="24">
        <f t="shared" si="53"/>
        <v>-11.528346091036182</v>
      </c>
      <c r="J68" s="24">
        <f t="shared" ref="J68:K68" si="54">-J66*J67</f>
        <v>-11.583104398456909</v>
      </c>
      <c r="K68" s="24">
        <f t="shared" si="54"/>
        <v>-11.870933071918214</v>
      </c>
      <c r="L68" s="85">
        <f>-L66*L67</f>
        <v>-12.10835173335658</v>
      </c>
      <c r="M68" s="24"/>
    </row>
    <row r="69" spans="2:13" x14ac:dyDescent="0.3">
      <c r="B69" s="1" t="s">
        <v>125</v>
      </c>
      <c r="D69" s="19"/>
      <c r="E69" s="24">
        <f>-INDEX('detailed-financials'!$E$50:$R$50,MATCH(summary!E63,'detailed-financials'!$E$6:$R$6,0))</f>
        <v>3.8501999999999996</v>
      </c>
      <c r="F69" s="24">
        <f>-INDEX('detailed-financials'!$E$50:$R$50,MATCH(summary!F63,'detailed-financials'!$E$6:$R$6,0))</f>
        <v>4.2071599999999991</v>
      </c>
      <c r="G69" s="24">
        <f>-INDEX('detailed-financials'!$E$50:$R$50,MATCH(summary!G63,'detailed-financials'!$E$6:$R$6,0))</f>
        <v>5.6648080000000007</v>
      </c>
      <c r="H69" s="24">
        <f>-INDEX('detailed-financials'!$E$50:$R$50,MATCH(summary!H63,'detailed-financials'!$E$6:$R$6,0))</f>
        <v>6.8769080000000002</v>
      </c>
      <c r="I69" s="24">
        <f>-INDEX('detailed-financials'!$E$50:$R$50,MATCH(summary!I63,'detailed-financials'!$E$6:$R$6,0))</f>
        <v>7.8934892320000003</v>
      </c>
      <c r="J69" s="24">
        <f>-INDEX('detailed-financials'!$E$50:$R$50,MATCH(summary!J63,'detailed-financials'!$E$6:$R$6,0))</f>
        <v>8.7545934742400018</v>
      </c>
      <c r="K69" s="24">
        <f>-INDEX('detailed-financials'!$E$50:$R$50,MATCH(summary!K63,'detailed-financials'!$E$6:$R$6,0))</f>
        <v>9.492272909804802</v>
      </c>
      <c r="L69" s="85">
        <f>K69/$K$66*$L$66</f>
        <v>9.6821183680009</v>
      </c>
      <c r="M69" s="24"/>
    </row>
    <row r="70" spans="2:13" x14ac:dyDescent="0.3">
      <c r="B70" s="1" t="s">
        <v>126</v>
      </c>
      <c r="D70" s="19"/>
      <c r="E70" s="24">
        <f>INDEX('detailed-financials'!$E$78:$R$78,MATCH(summary!E63,'detailed-financials'!$E$6:$R$6,0))</f>
        <v>-5.6349999999999998</v>
      </c>
      <c r="F70" s="24">
        <f>INDEX('detailed-financials'!$E$78:$R$78,MATCH(summary!F63,'detailed-financials'!$E$6:$R$6,0))</f>
        <v>-11.4954</v>
      </c>
      <c r="G70" s="24">
        <f>INDEX('detailed-financials'!$E$78:$R$78,MATCH(summary!G63,'detailed-financials'!$E$6:$R$6,0))</f>
        <v>-11.725308</v>
      </c>
      <c r="H70" s="24">
        <f>INDEX('detailed-financials'!$E$78:$R$78,MATCH(summary!H63,'detailed-financials'!$E$6:$R$6,0))</f>
        <v>-11.959814160000001</v>
      </c>
      <c r="I70" s="24">
        <f>INDEX('detailed-financials'!$E$78:$R$78,MATCH(summary!I63,'detailed-financials'!$E$6:$R$6,0))</f>
        <v>-12.199010443200001</v>
      </c>
      <c r="J70" s="24">
        <f>INDEX('detailed-financials'!$E$78:$R$78,MATCH(summary!J63,'detailed-financials'!$E$6:$R$6,0))</f>
        <v>-12.442990652064001</v>
      </c>
      <c r="K70" s="24">
        <f>INDEX('detailed-financials'!$E$78:$R$78,MATCH(summary!K63,'detailed-financials'!$E$6:$R$6,0))</f>
        <v>-12.691850465105281</v>
      </c>
      <c r="L70" s="85">
        <f>K70/$K$66*$L$66</f>
        <v>-12.945687474407388</v>
      </c>
      <c r="M70" s="24"/>
    </row>
    <row r="71" spans="2:13" x14ac:dyDescent="0.3">
      <c r="B71" s="1" t="s">
        <v>127</v>
      </c>
      <c r="D71" s="19"/>
      <c r="E71" s="24">
        <f>INDEX('detailed-financials'!$E$70:$R$70,MATCH(summary!E63,'detailed-financials'!$E$6:$R$6,0))</f>
        <v>-21.009161862591188</v>
      </c>
      <c r="F71" s="24">
        <f>INDEX('detailed-financials'!$E$70:$R$70,MATCH(summary!F63,'detailed-financials'!$E$6:$R$6,0))</f>
        <v>-17.087852949007306</v>
      </c>
      <c r="G71" s="24">
        <f>INDEX('detailed-financials'!$E$70:$R$70,MATCH(summary!G63,'detailed-financials'!$E$6:$R$6,0))</f>
        <v>-13.841160888695867</v>
      </c>
      <c r="H71" s="24">
        <f>INDEX('detailed-financials'!$E$70:$R$70,MATCH(summary!H63,'detailed-financials'!$E$6:$R$6,0))</f>
        <v>-9.7810870280118181</v>
      </c>
      <c r="I71" s="24">
        <f>INDEX('detailed-financials'!$E$70:$R$70,MATCH(summary!I63,'detailed-financials'!$E$6:$R$6,0))</f>
        <v>-5.0861652545661507</v>
      </c>
      <c r="J71" s="24">
        <f>INDEX('detailed-financials'!$E$70:$R$70,MATCH(summary!J63,'detailed-financials'!$E$6:$R$6,0))</f>
        <v>-5.1878885596574094</v>
      </c>
      <c r="K71" s="24">
        <f>INDEX('detailed-financials'!$E$70:$R$70,MATCH(summary!K63,'detailed-financials'!$E$6:$R$6,0))</f>
        <v>-5.7088865427457023</v>
      </c>
      <c r="L71" s="85">
        <f>(L66-K66)/(K66-E66)*SUM(E71:K71)</f>
        <v>-2.5359779291783964</v>
      </c>
      <c r="M71" s="24"/>
    </row>
    <row r="72" spans="2:13" x14ac:dyDescent="0.3">
      <c r="B72" s="1" t="s">
        <v>149</v>
      </c>
      <c r="D72" s="19"/>
      <c r="E72" s="24">
        <f>INDEX('detailed-financials'!$E$73:$R$73,MATCH(summary!E63,'detailed-financials'!$E$6:$R$6,0))</f>
        <v>0</v>
      </c>
      <c r="F72" s="24">
        <f>INDEX('detailed-financials'!$E$73:$R$73,MATCH(summary!F63,'detailed-financials'!$E$6:$R$6,0))</f>
        <v>0</v>
      </c>
      <c r="G72" s="24">
        <f>INDEX('detailed-financials'!$E$73:$R$73,MATCH(summary!G63,'detailed-financials'!$E$6:$R$6,0))</f>
        <v>0</v>
      </c>
      <c r="H72" s="24">
        <f>INDEX('detailed-financials'!$E$73:$R$73,MATCH(summary!H63,'detailed-financials'!$E$6:$R$6,0))</f>
        <v>0</v>
      </c>
      <c r="I72" s="24">
        <f>INDEX('detailed-financials'!$E$73:$R$73,MATCH(summary!I63,'detailed-financials'!$E$6:$R$6,0))</f>
        <v>0</v>
      </c>
      <c r="J72" s="24">
        <f>INDEX('detailed-financials'!$E$73:$R$73,MATCH(summary!J63,'detailed-financials'!$E$6:$R$6,0))</f>
        <v>0</v>
      </c>
      <c r="K72" s="24">
        <f>INDEX('detailed-financials'!$E$73:$R$73,MATCH(summary!K63,'detailed-financials'!$E$6:$R$6,0))</f>
        <v>0</v>
      </c>
      <c r="L72" s="85">
        <f>INDEX('detailed-financials'!$E$73:$R$73,MATCH(summary!L63,'detailed-financials'!$E$6:$R$6,0))</f>
        <v>0</v>
      </c>
      <c r="M72" s="24"/>
    </row>
    <row r="73" spans="2:13" x14ac:dyDescent="0.3">
      <c r="B73" s="1" t="s">
        <v>156</v>
      </c>
      <c r="D73" s="19"/>
      <c r="E73" s="24">
        <f>INDEX('detailed-financials'!$E$87:$R$87,MATCH(summary!E63,'detailed-financials'!$E$6:$R$6,0))</f>
        <v>0</v>
      </c>
      <c r="F73" s="24">
        <f>INDEX('detailed-financials'!$E$87:$R$87,MATCH(summary!F63,'detailed-financials'!$E$6:$R$6,0))</f>
        <v>0</v>
      </c>
      <c r="G73" s="24">
        <f>INDEX('detailed-financials'!$E$87:$R$87,MATCH(summary!G63,'detailed-financials'!$E$6:$R$6,0))</f>
        <v>0</v>
      </c>
      <c r="H73" s="24">
        <f>INDEX('detailed-financials'!$E$87:$R$87,MATCH(summary!H63,'detailed-financials'!$E$6:$R$6,0))</f>
        <v>0</v>
      </c>
      <c r="I73" s="24">
        <f>INDEX('detailed-financials'!$E$87:$R$87,MATCH(summary!I63,'detailed-financials'!$E$6:$R$6,0))</f>
        <v>0</v>
      </c>
      <c r="J73" s="24">
        <f>INDEX('detailed-financials'!$E$87:$R$87,MATCH(summary!J63,'detailed-financials'!$E$6:$R$6,0))</f>
        <v>0</v>
      </c>
      <c r="K73" s="24">
        <f>INDEX('detailed-financials'!$E$87:$R$87,MATCH(summary!K63,'detailed-financials'!$E$6:$R$6,0))</f>
        <v>0</v>
      </c>
      <c r="L73" s="85">
        <f>INDEX('detailed-financials'!$E$87:$R$87,MATCH(summary!L63,'detailed-financials'!$E$6:$R$6,0))</f>
        <v>0</v>
      </c>
      <c r="M73" s="24"/>
    </row>
    <row r="74" spans="2:13" x14ac:dyDescent="0.3">
      <c r="B74" s="1" t="s">
        <v>129</v>
      </c>
      <c r="D74" s="19"/>
      <c r="E74" s="24">
        <f>SUM(E68:E73,E66)*E64</f>
        <v>-3.9507476017070911</v>
      </c>
      <c r="F74" s="24">
        <f t="shared" ref="F74:I74" si="55">SUM(F68:F73,F66)*F64</f>
        <v>8.4907943693467161</v>
      </c>
      <c r="G74" s="24">
        <f t="shared" si="55"/>
        <v>14.033325868759384</v>
      </c>
      <c r="H74" s="24">
        <f t="shared" si="55"/>
        <v>19.689262279741662</v>
      </c>
      <c r="I74" s="24">
        <f t="shared" si="55"/>
        <v>25.193351807342395</v>
      </c>
      <c r="J74" s="24">
        <f t="shared" ref="J74:K74" si="56">SUM(J68:J73,J66)*J64</f>
        <v>25.873027457889318</v>
      </c>
      <c r="K74" s="24">
        <f t="shared" si="56"/>
        <v>26.70433511770846</v>
      </c>
      <c r="L74" s="24">
        <f>SUM(L68:L73,L66)*L64</f>
        <v>30.525508164484854</v>
      </c>
      <c r="M74" s="24"/>
    </row>
    <row r="75" spans="2:13" x14ac:dyDescent="0.3">
      <c r="B75" s="1" t="s">
        <v>142</v>
      </c>
      <c r="D75" s="19"/>
      <c r="E75" s="19"/>
      <c r="F75" s="19"/>
      <c r="G75" s="19"/>
      <c r="H75" s="19"/>
      <c r="I75" s="19"/>
      <c r="J75" s="19"/>
      <c r="K75" s="19"/>
      <c r="L75" s="39">
        <f>($L$74*(1+$D$9))/($D$8-$D$9)</f>
        <v>332.85485324514889</v>
      </c>
      <c r="M75" s="39"/>
    </row>
    <row r="76" spans="2:13" x14ac:dyDescent="0.3">
      <c r="B76" s="1" t="s">
        <v>143</v>
      </c>
      <c r="D76" s="19"/>
      <c r="E76" s="24">
        <f>E74/(1+$D$8)^E65</f>
        <v>-3.9507476017070911</v>
      </c>
      <c r="F76" s="24">
        <f t="shared" ref="F76:I76" si="57">F74/(1+$D$8)^F65</f>
        <v>7.7698971564475396</v>
      </c>
      <c r="G76" s="24">
        <f t="shared" si="57"/>
        <v>11.532429986364582</v>
      </c>
      <c r="H76" s="24">
        <f t="shared" si="57"/>
        <v>14.530579340573004</v>
      </c>
      <c r="I76" s="24">
        <f t="shared" si="57"/>
        <v>16.696779298180552</v>
      </c>
      <c r="J76" s="24">
        <f t="shared" ref="J76:K76" si="58">J74/(1+$D$8)^J65</f>
        <v>15.398814028583999</v>
      </c>
      <c r="K76" s="24">
        <f t="shared" si="58"/>
        <v>14.272993348264722</v>
      </c>
      <c r="L76" s="24">
        <f>L75/(1+$D$8)^L65</f>
        <v>177.9050137501913</v>
      </c>
      <c r="M76" s="24"/>
    </row>
    <row r="77" spans="2:13" x14ac:dyDescent="0.3">
      <c r="D77" s="19"/>
      <c r="E77" s="24"/>
      <c r="F77" s="24"/>
      <c r="G77" s="24"/>
      <c r="H77" s="24"/>
      <c r="I77" s="24"/>
      <c r="J77" s="24"/>
      <c r="K77" s="24"/>
      <c r="L77" s="24"/>
    </row>
    <row r="78" spans="2:13" x14ac:dyDescent="0.3">
      <c r="B78" s="1" t="s">
        <v>157</v>
      </c>
      <c r="D78" s="19"/>
      <c r="E78" s="24">
        <f>-INDEX('detailed-financials'!E59:R59,MATCH(summary!E63,'detailed-financials'!E6:R6,0))</f>
        <v>0</v>
      </c>
      <c r="F78" s="24">
        <f>-INDEX('detailed-financials'!F59:S59,MATCH(summary!F63,'detailed-financials'!F6:S6,0))</f>
        <v>0</v>
      </c>
      <c r="G78" s="24">
        <f>-INDEX('detailed-financials'!G59:T59,MATCH(summary!G63,'detailed-financials'!G6:T6,0))</f>
        <v>0</v>
      </c>
      <c r="H78" s="24">
        <f>-INDEX('detailed-financials'!H59:U59,MATCH(summary!H63,'detailed-financials'!H6:U6,0))</f>
        <v>0</v>
      </c>
      <c r="I78" s="24">
        <f>-INDEX('detailed-financials'!I59:V59,MATCH(summary!I63,'detailed-financials'!I6:V6,0))</f>
        <v>0</v>
      </c>
      <c r="J78" s="24">
        <f>-INDEX('detailed-financials'!J59:W59,MATCH(summary!J63,'detailed-financials'!J6:W6,0))</f>
        <v>0</v>
      </c>
      <c r="K78" s="24">
        <f>-INDEX('detailed-financials'!K59:X59,MATCH(summary!K63,'detailed-financials'!K6:X6,0))</f>
        <v>0</v>
      </c>
      <c r="L78" s="24">
        <f>I78*(1+$D$9)</f>
        <v>0</v>
      </c>
    </row>
    <row r="79" spans="2:13" x14ac:dyDescent="0.3">
      <c r="B79" s="1" t="s">
        <v>196</v>
      </c>
      <c r="D79" s="19"/>
      <c r="E79" s="24"/>
      <c r="F79" s="24"/>
      <c r="G79" s="24"/>
      <c r="H79" s="24"/>
      <c r="I79" s="24"/>
      <c r="J79" s="24"/>
      <c r="K79" s="24"/>
      <c r="L79" s="24">
        <f>($L$78*(1+$D$9))/($D$8-$D$9)</f>
        <v>0</v>
      </c>
    </row>
    <row r="80" spans="2:13" x14ac:dyDescent="0.3">
      <c r="B80" s="1" t="s">
        <v>195</v>
      </c>
      <c r="D80" s="19"/>
      <c r="E80" s="24">
        <f>E78/(1+$D$8)^E65</f>
        <v>0</v>
      </c>
      <c r="F80" s="24">
        <f t="shared" ref="F80:I80" si="59">F78/(1+$D$8)^F65</f>
        <v>0</v>
      </c>
      <c r="G80" s="24">
        <f t="shared" si="59"/>
        <v>0</v>
      </c>
      <c r="H80" s="24">
        <f t="shared" si="59"/>
        <v>0</v>
      </c>
      <c r="I80" s="24">
        <f t="shared" si="59"/>
        <v>0</v>
      </c>
      <c r="J80" s="24">
        <f t="shared" ref="J80" si="60">J78/(1+$D$8)^J65</f>
        <v>0</v>
      </c>
      <c r="K80" s="24">
        <f t="shared" ref="K80" si="61">K78/(1+$D$8)^K65</f>
        <v>0</v>
      </c>
      <c r="L80" s="24">
        <f>L79/(1+$D$8)^L65</f>
        <v>0</v>
      </c>
    </row>
    <row r="81" spans="2:10" x14ac:dyDescent="0.3">
      <c r="D81" s="19"/>
      <c r="E81" s="20"/>
      <c r="F81" s="19"/>
      <c r="G81" s="19"/>
      <c r="H81" s="19"/>
      <c r="I81" s="19"/>
      <c r="J81" s="19"/>
    </row>
    <row r="82" spans="2:10" x14ac:dyDescent="0.3">
      <c r="B82" s="2" t="s">
        <v>131</v>
      </c>
      <c r="C82" s="2"/>
      <c r="D82" s="2"/>
      <c r="F82" s="2" t="s">
        <v>128</v>
      </c>
      <c r="G82" s="2"/>
      <c r="H82" s="2"/>
    </row>
    <row r="83" spans="2:10" x14ac:dyDescent="0.3">
      <c r="B83" s="1" t="s">
        <v>132</v>
      </c>
      <c r="D83" s="39">
        <f>SUM(E76:L76)</f>
        <v>254.1557593068986</v>
      </c>
      <c r="F83" s="1" t="s">
        <v>130</v>
      </c>
      <c r="H83" s="38">
        <f>WACC!E14</f>
        <v>113</v>
      </c>
    </row>
    <row r="84" spans="2:10" x14ac:dyDescent="0.3">
      <c r="B84" s="1" t="s">
        <v>133</v>
      </c>
      <c r="D84" s="39">
        <f>-(INDEX('detailed-financials'!$E$26:$R$26,MATCH($D$11,'detailed-financials'!$E$6:$R$6,0))-INDEX('detailed-financials'!$E$12:$R$12,MATCH($D$11,'detailed-financials'!$E$6:$R$6,0)))</f>
        <v>-74.177999999999997</v>
      </c>
      <c r="F84" s="1" t="s">
        <v>144</v>
      </c>
      <c r="H84" s="38">
        <f>D92-H83</f>
        <v>39.618440090592031</v>
      </c>
    </row>
    <row r="85" spans="2:10" x14ac:dyDescent="0.3">
      <c r="B85" s="1" t="s">
        <v>154</v>
      </c>
      <c r="D85" s="39">
        <f>(INDEX('detailed-financials'!$E$15:$R$15,MATCH($D$11,'detailed-financials'!$E$6:$R$6,0))+INDEX('detailed-financials'!$E$16:$R$16,MATCH($D$11,'detailed-financials'!$E$6:$R$6,0))+INDEX('detailed-financials'!$E$17:$R$17,MATCH($D$11,'detailed-financials'!$E$6:$R$6,0)))</f>
        <v>0.112</v>
      </c>
      <c r="F85" s="1" t="s">
        <v>145</v>
      </c>
      <c r="H85" s="31">
        <f>1-(H83/D92)</f>
        <v>0.25959143644159322</v>
      </c>
    </row>
    <row r="86" spans="2:10" x14ac:dyDescent="0.3">
      <c r="B86" s="1" t="s">
        <v>155</v>
      </c>
      <c r="D86" s="39">
        <f>-(INDEX('detailed-financials'!$E$25:$R$25,MATCH($D$11,'detailed-financials'!$E$6:$R$6,0))+INDEX('detailed-financials'!$E$24:$R$24,MATCH($D$11,'detailed-financials'!$E$6:$R$6,0))+INDEX('detailed-financials'!$E$27:$R$27,MATCH($D$11,'detailed-financials'!$E$6:$R$6,0)))</f>
        <v>0</v>
      </c>
      <c r="F86" s="1" t="s">
        <v>146</v>
      </c>
      <c r="H86" s="18">
        <f>D92*0.7</f>
        <v>106.83290806341442</v>
      </c>
    </row>
    <row r="87" spans="2:10" x14ac:dyDescent="0.3">
      <c r="B87" s="1" t="s">
        <v>164</v>
      </c>
      <c r="D87" s="85"/>
    </row>
    <row r="88" spans="2:10" x14ac:dyDescent="0.3">
      <c r="B88" s="40" t="s">
        <v>134</v>
      </c>
      <c r="C88" s="40"/>
      <c r="D88" s="41">
        <f>SUM(D83:D87)</f>
        <v>180.0897593068986</v>
      </c>
    </row>
    <row r="89" spans="2:10" x14ac:dyDescent="0.3">
      <c r="B89" s="1" t="s">
        <v>157</v>
      </c>
      <c r="D89" s="39">
        <f>SUM(E80:L80)</f>
        <v>0</v>
      </c>
    </row>
    <row r="90" spans="2:10" x14ac:dyDescent="0.3">
      <c r="B90" s="40" t="s">
        <v>158</v>
      </c>
      <c r="C90" s="40"/>
      <c r="D90" s="41">
        <f>SUM(D88:D89)</f>
        <v>180.0897593068986</v>
      </c>
    </row>
    <row r="92" spans="2:10" x14ac:dyDescent="0.3">
      <c r="B92" s="1" t="s">
        <v>135</v>
      </c>
      <c r="D92" s="72">
        <f>D90*10^8/D13</f>
        <v>152.61844009059203</v>
      </c>
    </row>
  </sheetData>
  <sheetProtection algorithmName="SHA-512" hashValue="AvyTe58w4SH1uQKMFd4ZqZPNCGFLbwmkTdHMozI2Z4nPoxJxQa3EPAkYidG6am2P8TF5v3KIlFatUwJqWTOiPA==" saltValue="VFHtU1LYeomzaQESdEez6g==" spinCount="100000" sheet="1" formatCells="0" formatColumns="0" formatRows="0" insertColumns="0" insertRows="0" insertHyperlinks="0" deleteColumns="0" deleteRows="0" selectLockedCells="1" sort="0" autoFilter="0" pivotTables="0"/>
  <conditionalFormatting sqref="D1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E3298429-3BA3-4781-AF4F-0CE3148DC9A9}">
            <xm:f>K$19&lt;cover!$E$13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D23 E24:R38</xm:sqref>
        </x14:conditionalFormatting>
        <x14:conditionalFormatting xmlns:xm="http://schemas.microsoft.com/office/excel/2006/main">
          <x14:cfRule type="expression" priority="9" id="{DB512228-930D-44C3-A266-091211F65F0B}">
            <xm:f>E$19&gt;cover!$E$13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E42:K42 E44:K44 E46:K46 E48:K48 E50:K50</xm:sqref>
        </x14:conditionalFormatting>
        <x14:conditionalFormatting xmlns:xm="http://schemas.microsoft.com/office/excel/2006/main">
          <x14:cfRule type="expression" priority="3" id="{E8FF0C00-272B-44E0-9369-8764AD5348F8}">
            <xm:f>F$6&gt;cover!$E$14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F72:F73</xm:sqref>
        </x14:conditionalFormatting>
        <x14:conditionalFormatting xmlns:xm="http://schemas.microsoft.com/office/excel/2006/main">
          <x14:cfRule type="expression" priority="4" id="{699A536D-8A4B-46C5-B510-BA0959C6B272}">
            <xm:f>#REF!&gt;cover!$E$14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F66:H66 F69:H71</xm:sqref>
        </x14:conditionalFormatting>
        <x14:conditionalFormatting xmlns:xm="http://schemas.microsoft.com/office/excel/2006/main">
          <x14:cfRule type="expression" priority="51" id="{E8FF0C00-272B-44E0-9369-8764AD5348F8}">
            <xm:f>#REF!&gt;cover!$E$14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G72:H73 I66 I69:I73 J72:J73 K66 K69:K73</xm:sqref>
        </x14:conditionalFormatting>
        <x14:conditionalFormatting xmlns:xm="http://schemas.microsoft.com/office/excel/2006/main">
          <x14:cfRule type="expression" priority="55" id="{E8FF0C00-272B-44E0-9369-8764AD5348F8}">
            <xm:f>D$15&gt;cover!$E$14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E66 E69:E73</xm:sqref>
        </x14:conditionalFormatting>
        <x14:conditionalFormatting xmlns:xm="http://schemas.microsoft.com/office/excel/2006/main">
          <x14:cfRule type="expression" priority="2" id="{920726A5-BC94-4313-B203-BB0F3DF1C859}">
            <xm:f>J$6&gt;cover!$E$14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L78 M66 M69:M73</xm:sqref>
        </x14:conditionalFormatting>
        <x14:conditionalFormatting xmlns:xm="http://schemas.microsoft.com/office/excel/2006/main">
          <x14:cfRule type="expression" priority="1" id="{8B205539-E932-4649-B9DE-254DB7AA75FF}">
            <xm:f>#REF!&gt;cover!$E$14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J66 J69:J71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3B2A8-5C40-4A5F-9E02-CB49A082C27D}">
  <dimension ref="A1:I25"/>
  <sheetViews>
    <sheetView topLeftCell="B8" workbookViewId="0">
      <selection activeCell="I25" sqref="I25"/>
    </sheetView>
  </sheetViews>
  <sheetFormatPr defaultColWidth="9.109375" defaultRowHeight="14.4" x14ac:dyDescent="0.3"/>
  <cols>
    <col min="1" max="1" width="2.6640625" style="1" customWidth="1"/>
    <col min="2" max="4" width="12.6640625" style="1" customWidth="1"/>
    <col min="5" max="5" width="12.6640625" style="8" customWidth="1"/>
    <col min="6" max="9" width="12.6640625" style="1" customWidth="1"/>
    <col min="10" max="10" width="14.33203125" style="1" bestFit="1" customWidth="1"/>
    <col min="11" max="50" width="12.6640625" style="1" customWidth="1"/>
    <col min="51" max="16384" width="9.109375" style="1"/>
  </cols>
  <sheetData>
    <row r="1" spans="1:9" ht="33.6" x14ac:dyDescent="0.65">
      <c r="B1" s="88" t="s">
        <v>192</v>
      </c>
    </row>
    <row r="2" spans="1:9" s="15" customFormat="1" ht="15" thickBot="1" x14ac:dyDescent="0.35">
      <c r="A2" s="13"/>
      <c r="B2" s="14" t="str">
        <f>UPPER(cover!E8&amp;" - "&amp;DAY(cover!E12)&amp;"/"&amp;MONTH(cover!E12)&amp;"/"&amp;YEAR(cover!E12))</f>
        <v>ANEXO GROUP PLC - 4/3/2023</v>
      </c>
      <c r="E2" s="13"/>
    </row>
    <row r="3" spans="1:9" ht="15" thickTop="1" x14ac:dyDescent="0.3">
      <c r="B3" s="25" t="str">
        <f>IF(checks!E10&lt;&gt;0,"**ERROR**","")</f>
        <v/>
      </c>
    </row>
    <row r="4" spans="1:9" s="3" customFormat="1" x14ac:dyDescent="0.3">
      <c r="A4" s="5"/>
      <c r="B4" s="2" t="s">
        <v>100</v>
      </c>
      <c r="E4" s="4"/>
    </row>
    <row r="6" spans="1:9" x14ac:dyDescent="0.3">
      <c r="B6" s="2" t="s">
        <v>167</v>
      </c>
      <c r="C6" s="3"/>
      <c r="D6" s="3"/>
      <c r="E6" s="4"/>
      <c r="F6" s="4"/>
      <c r="G6" s="4"/>
      <c r="H6" s="4"/>
      <c r="I6" s="4"/>
    </row>
    <row r="8" spans="1:9" x14ac:dyDescent="0.3">
      <c r="B8" s="2" t="s">
        <v>136</v>
      </c>
      <c r="C8" s="3"/>
      <c r="D8" s="3"/>
      <c r="E8" s="4"/>
      <c r="G8" s="2" t="s">
        <v>100</v>
      </c>
      <c r="H8" s="2"/>
      <c r="I8" s="5"/>
    </row>
    <row r="10" spans="1:9" x14ac:dyDescent="0.3">
      <c r="B10" s="1" t="s">
        <v>113</v>
      </c>
      <c r="E10" s="86">
        <v>4.0869999999999997E-2</v>
      </c>
      <c r="G10" s="1" t="s">
        <v>101</v>
      </c>
      <c r="I10" s="36">
        <f>E17</f>
        <v>1</v>
      </c>
    </row>
    <row r="11" spans="1:9" x14ac:dyDescent="0.3">
      <c r="B11" s="1" t="s">
        <v>114</v>
      </c>
      <c r="E11" s="86">
        <v>6.9699999999999998E-2</v>
      </c>
      <c r="F11" s="44"/>
      <c r="G11" s="1" t="s">
        <v>102</v>
      </c>
      <c r="I11" s="34">
        <f>(INDEX('detailed-financials'!$E$26:$R$26,MATCH(cover!$E$13,'detailed-financials'!$E$6:$R$6,0))-INDEX('detailed-financials'!$E$12:$R$12,MATCH(cover!$E$13,'detailed-financials'!$E$6:$R$6,0)))/$E$13</f>
        <v>0.55983396226415094</v>
      </c>
    </row>
    <row r="12" spans="1:9" x14ac:dyDescent="0.3">
      <c r="B12" s="1" t="s">
        <v>116</v>
      </c>
      <c r="E12" s="86">
        <f>summary!M28</f>
        <v>8.8768846246875754E-2</v>
      </c>
      <c r="G12" s="1" t="s">
        <v>103</v>
      </c>
      <c r="I12" s="37">
        <f>$E$15</f>
        <v>0.25</v>
      </c>
    </row>
    <row r="13" spans="1:9" x14ac:dyDescent="0.3">
      <c r="B13" s="1" t="s">
        <v>115</v>
      </c>
      <c r="E13" s="80">
        <v>132.5</v>
      </c>
      <c r="G13" s="1" t="s">
        <v>104</v>
      </c>
      <c r="I13" s="33">
        <f>I10*(1+(1-I12)*(I11))</f>
        <v>1.4198754716981132</v>
      </c>
    </row>
    <row r="14" spans="1:9" x14ac:dyDescent="0.3">
      <c r="B14" s="1" t="s">
        <v>163</v>
      </c>
      <c r="E14" s="87">
        <v>113</v>
      </c>
    </row>
    <row r="15" spans="1:9" x14ac:dyDescent="0.3">
      <c r="B15" s="1" t="s">
        <v>137</v>
      </c>
      <c r="E15" s="86">
        <v>0.25</v>
      </c>
      <c r="G15" s="1" t="s">
        <v>105</v>
      </c>
      <c r="I15" s="37">
        <f>WACC!$E$10</f>
        <v>4.0869999999999997E-2</v>
      </c>
    </row>
    <row r="16" spans="1:9" x14ac:dyDescent="0.3">
      <c r="B16" s="1" t="s">
        <v>138</v>
      </c>
      <c r="E16" s="87">
        <v>1</v>
      </c>
      <c r="G16" s="1" t="s">
        <v>106</v>
      </c>
      <c r="I16" s="37">
        <f>WACC!$E$11</f>
        <v>6.9699999999999998E-2</v>
      </c>
    </row>
    <row r="17" spans="2:9" x14ac:dyDescent="0.3">
      <c r="B17" s="1" t="s">
        <v>139</v>
      </c>
      <c r="E17" s="87">
        <v>1</v>
      </c>
      <c r="G17" s="1" t="s">
        <v>107</v>
      </c>
      <c r="I17" s="42">
        <f>$E$18</f>
        <v>0</v>
      </c>
    </row>
    <row r="18" spans="2:9" x14ac:dyDescent="0.3">
      <c r="B18" s="1" t="s">
        <v>140</v>
      </c>
      <c r="E18" s="86">
        <v>0</v>
      </c>
      <c r="G18" s="1" t="s">
        <v>108</v>
      </c>
      <c r="I18" s="34">
        <f>I16*I13+I15+I17</f>
        <v>0.13983532037735849</v>
      </c>
    </row>
    <row r="19" spans="2:9" x14ac:dyDescent="0.3">
      <c r="E19" s="1"/>
      <c r="G19" s="1" t="s">
        <v>109</v>
      </c>
      <c r="I19" s="79">
        <f>I18</f>
        <v>0.13983532037735849</v>
      </c>
    </row>
    <row r="20" spans="2:9" x14ac:dyDescent="0.3">
      <c r="E20" s="1"/>
      <c r="I20" s="35"/>
    </row>
    <row r="21" spans="2:9" x14ac:dyDescent="0.3">
      <c r="E21" s="1"/>
      <c r="G21" s="1" t="s">
        <v>110</v>
      </c>
      <c r="I21" s="37">
        <f>WACC!$E$12</f>
        <v>8.8768846246875754E-2</v>
      </c>
    </row>
    <row r="22" spans="2:9" x14ac:dyDescent="0.3">
      <c r="E22" s="1"/>
      <c r="G22" s="1" t="s">
        <v>111</v>
      </c>
      <c r="I22" s="34">
        <f>I21*(1-I12)</f>
        <v>6.6576634685156816E-2</v>
      </c>
    </row>
    <row r="23" spans="2:9" x14ac:dyDescent="0.3">
      <c r="E23" s="1"/>
      <c r="I23" s="35"/>
    </row>
    <row r="24" spans="2:9" x14ac:dyDescent="0.3">
      <c r="E24" s="1"/>
      <c r="G24" s="1" t="s">
        <v>100</v>
      </c>
      <c r="I24" s="34">
        <f>(I11/(1+I11))*I22+((1-I11/(1+I11))*I19)</f>
        <v>0.11354232940939801</v>
      </c>
    </row>
    <row r="25" spans="2:9" x14ac:dyDescent="0.3">
      <c r="G25" s="1" t="s">
        <v>112</v>
      </c>
      <c r="I25" s="79">
        <f>I24</f>
        <v>0.11354232940939801</v>
      </c>
    </row>
  </sheetData>
  <sheetProtection algorithmName="SHA-512" hashValue="+pu9tKSl+Ikfw3LAeJS1RPzCLIFOGkmrDx082Btb6+43woH0IOox9hYIIKfmTCUSX7h9h2D3AGq/4yTQQU6+Lw==" saltValue="w8OgHdAqfk5lmt2I6jgK/g==" spinCount="100000" sheet="1" formatCells="0" formatColumns="0" formatRows="0" insertColumns="0" insertRows="0" insertHyperlinks="0" deleteColumns="0" deleteRows="0" selectLockedCells="1" sort="0" autoFilter="0" pivotTables="0"/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4A531-A092-4387-AB46-45A4AD3DAB9E}">
  <dimension ref="A1:R98"/>
  <sheetViews>
    <sheetView zoomScale="84" workbookViewId="0">
      <pane xSplit="4" ySplit="7" topLeftCell="I35" activePane="bottomRight" state="frozen"/>
      <selection pane="topRight" activeCell="E1" sqref="E1"/>
      <selection pane="bottomLeft" activeCell="A9" sqref="A9"/>
      <selection pane="bottomRight" activeCell="J26" sqref="J26"/>
    </sheetView>
  </sheetViews>
  <sheetFormatPr defaultColWidth="9.109375" defaultRowHeight="14.4" x14ac:dyDescent="0.3"/>
  <cols>
    <col min="1" max="1" width="2.6640625" style="1" customWidth="1"/>
    <col min="2" max="4" width="12.6640625" style="1" customWidth="1"/>
    <col min="5" max="6" width="12.6640625" style="8" customWidth="1"/>
    <col min="7" max="51" width="12.6640625" style="1" customWidth="1"/>
    <col min="52" max="16384" width="9.109375" style="1"/>
  </cols>
  <sheetData>
    <row r="1" spans="1:18" ht="33.6" x14ac:dyDescent="0.65">
      <c r="B1" s="88" t="s">
        <v>192</v>
      </c>
    </row>
    <row r="2" spans="1:18" s="15" customFormat="1" ht="15" thickBot="1" x14ac:dyDescent="0.35">
      <c r="A2" s="13"/>
      <c r="B2" s="14" t="str">
        <f>UPPER(cover!E8&amp;" - "&amp;DAY(cover!E12)&amp;"/"&amp;MONTH(cover!E12)&amp;"/"&amp;YEAR(cover!E12))</f>
        <v>ANEXO GROUP PLC - 4/3/2023</v>
      </c>
      <c r="E2" s="13"/>
      <c r="F2" s="13"/>
    </row>
    <row r="3" spans="1:18" ht="15" thickTop="1" x14ac:dyDescent="0.3">
      <c r="B3" s="25" t="str">
        <f>IF(checks!E10&lt;&gt;0,"**ERROR**","")</f>
        <v/>
      </c>
    </row>
    <row r="4" spans="1:18" s="3" customFormat="1" x14ac:dyDescent="0.3">
      <c r="A4" s="5"/>
      <c r="B4" s="2" t="s">
        <v>15</v>
      </c>
      <c r="D4" s="5" t="str">
        <f>cover!$E$10</f>
        <v>£m</v>
      </c>
      <c r="E4" s="4"/>
      <c r="F4" s="4"/>
    </row>
    <row r="6" spans="1:18" x14ac:dyDescent="0.3">
      <c r="B6" s="1" t="s">
        <v>18</v>
      </c>
      <c r="E6" s="16">
        <v>42735</v>
      </c>
      <c r="F6" s="16">
        <f t="shared" ref="F6:J6" si="0">EOMONTH(E6,12)</f>
        <v>43100</v>
      </c>
      <c r="G6" s="16">
        <f t="shared" si="0"/>
        <v>43465</v>
      </c>
      <c r="H6" s="16">
        <f t="shared" si="0"/>
        <v>43830</v>
      </c>
      <c r="I6" s="16">
        <f t="shared" si="0"/>
        <v>44196</v>
      </c>
      <c r="J6" s="16">
        <f t="shared" si="0"/>
        <v>44561</v>
      </c>
      <c r="K6" s="16">
        <f>EOMONTH(J6,6)</f>
        <v>44742</v>
      </c>
      <c r="L6" s="16">
        <f>EOMONTH(K6,6)</f>
        <v>44926</v>
      </c>
      <c r="M6" s="16">
        <f>EOMONTH(L6,12)</f>
        <v>45291</v>
      </c>
      <c r="N6" s="16">
        <f t="shared" ref="N6:R6" si="1">EOMONTH(M6,12)</f>
        <v>45657</v>
      </c>
      <c r="O6" s="16">
        <f t="shared" si="1"/>
        <v>46022</v>
      </c>
      <c r="P6" s="16">
        <f t="shared" si="1"/>
        <v>46387</v>
      </c>
      <c r="Q6" s="16">
        <f t="shared" si="1"/>
        <v>46752</v>
      </c>
      <c r="R6" s="16">
        <f t="shared" si="1"/>
        <v>47118</v>
      </c>
    </row>
    <row r="7" spans="1:18" x14ac:dyDescent="0.3">
      <c r="B7" s="1" t="s">
        <v>58</v>
      </c>
      <c r="E7" s="1">
        <v>12</v>
      </c>
      <c r="F7" s="1">
        <f t="shared" ref="F7" si="2">YEAR(F6)*12+MONTH(F6)-YEAR(E6)*12-MONTH(E6)</f>
        <v>12</v>
      </c>
      <c r="G7" s="1">
        <f t="shared" ref="G7" si="3">YEAR(G6)*12+MONTH(G6)-YEAR(F6)*12-MONTH(F6)</f>
        <v>12</v>
      </c>
      <c r="H7" s="1">
        <f t="shared" ref="H7" si="4">YEAR(H6)*12+MONTH(H6)-YEAR(G6)*12-MONTH(G6)</f>
        <v>12</v>
      </c>
      <c r="I7" s="1">
        <f t="shared" ref="I7" si="5">YEAR(I6)*12+MONTH(I6)-YEAR(H6)*12-MONTH(H6)</f>
        <v>12</v>
      </c>
      <c r="J7" s="1">
        <f t="shared" ref="J7" si="6">YEAR(J6)*12+MONTH(J6)-YEAR(I6)*12-MONTH(I6)</f>
        <v>12</v>
      </c>
      <c r="K7" s="1">
        <f t="shared" ref="K7" si="7">YEAR(K6)*12+MONTH(K6)-YEAR(J6)*12-MONTH(J6)</f>
        <v>6</v>
      </c>
      <c r="L7" s="1">
        <f t="shared" ref="L7" si="8">YEAR(L6)*12+MONTH(L6)-YEAR(K6)*12-MONTH(K6)</f>
        <v>6</v>
      </c>
      <c r="M7" s="1">
        <f t="shared" ref="M7" si="9">YEAR(M6)*12+MONTH(M6)-YEAR(L6)*12-MONTH(L6)</f>
        <v>12</v>
      </c>
      <c r="N7" s="1">
        <f t="shared" ref="N7" si="10">YEAR(N6)*12+MONTH(N6)-YEAR(M6)*12-MONTH(M6)</f>
        <v>12</v>
      </c>
      <c r="O7" s="1">
        <f t="shared" ref="O7" si="11">YEAR(O6)*12+MONTH(O6)-YEAR(N6)*12-MONTH(N6)</f>
        <v>12</v>
      </c>
      <c r="P7" s="1">
        <f t="shared" ref="P7" si="12">YEAR(P6)*12+MONTH(P6)-YEAR(O6)*12-MONTH(O6)</f>
        <v>12</v>
      </c>
      <c r="Q7" s="1">
        <f t="shared" ref="Q7" si="13">YEAR(Q6)*12+MONTH(Q6)-YEAR(P6)*12-MONTH(P6)</f>
        <v>12</v>
      </c>
      <c r="R7" s="1">
        <f t="shared" ref="R7" si="14">YEAR(R6)*12+MONTH(R6)-YEAR(Q6)*12-MONTH(Q6)</f>
        <v>12</v>
      </c>
    </row>
    <row r="10" spans="1:18" x14ac:dyDescent="0.3">
      <c r="B10" s="2" t="s">
        <v>46</v>
      </c>
      <c r="C10" s="3"/>
      <c r="D10" s="3"/>
      <c r="E10" s="4"/>
      <c r="F10" s="4"/>
      <c r="G10" s="4"/>
      <c r="H10" s="4"/>
      <c r="I10" s="4"/>
      <c r="J10" s="4"/>
      <c r="K10" s="4"/>
      <c r="L10" s="4"/>
      <c r="M10" s="4"/>
      <c r="N10" s="4"/>
      <c r="O10" s="5"/>
      <c r="P10" s="5"/>
      <c r="Q10" s="5"/>
      <c r="R10" s="5"/>
    </row>
    <row r="11" spans="1:18" x14ac:dyDescent="0.3">
      <c r="L11" s="1" t="s">
        <v>197</v>
      </c>
    </row>
    <row r="12" spans="1:18" x14ac:dyDescent="0.3">
      <c r="B12" s="1" t="s">
        <v>16</v>
      </c>
      <c r="E12" s="73">
        <v>0.236341</v>
      </c>
      <c r="F12" s="73">
        <v>0.20200000000000001</v>
      </c>
      <c r="G12" s="73">
        <v>5.532</v>
      </c>
      <c r="H12" s="73">
        <v>2.27</v>
      </c>
      <c r="I12" s="73">
        <v>8.2200000000000006</v>
      </c>
      <c r="J12" s="73">
        <v>7.5620000000000003</v>
      </c>
      <c r="K12" s="73">
        <v>1.2470000000000001</v>
      </c>
      <c r="L12" s="24">
        <f>L95</f>
        <v>-10.531650258582301</v>
      </c>
      <c r="M12" s="24">
        <f>M95</f>
        <v>-1.2120032346253033</v>
      </c>
      <c r="N12" s="24">
        <f>N95</f>
        <v>12.10804791139522</v>
      </c>
      <c r="O12" s="24">
        <f>O95</f>
        <v>29.33629725993277</v>
      </c>
      <c r="P12" s="24">
        <f t="shared" ref="P12:R12" si="15">P95</f>
        <v>50.197056224717805</v>
      </c>
      <c r="Q12" s="24">
        <f t="shared" si="15"/>
        <v>71.650838983198639</v>
      </c>
      <c r="R12" s="24">
        <f t="shared" si="15"/>
        <v>95.16573702733848</v>
      </c>
    </row>
    <row r="13" spans="1:18" x14ac:dyDescent="0.3">
      <c r="B13" s="1" t="s">
        <v>17</v>
      </c>
      <c r="E13" s="73">
        <v>15.190448999999999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24">
        <f>summary!L30/365*L44*12/L7</f>
        <v>0</v>
      </c>
      <c r="M13" s="24">
        <f>summary!M30/365*M44*12/M7</f>
        <v>0</v>
      </c>
      <c r="N13" s="24">
        <f>summary!N30/365*N44</f>
        <v>0</v>
      </c>
      <c r="O13" s="24">
        <f>summary!O30/365*O44</f>
        <v>0</v>
      </c>
      <c r="P13" s="24">
        <f>summary!P30/365*P44</f>
        <v>0</v>
      </c>
      <c r="Q13" s="24">
        <f>summary!Q30/365*Q44</f>
        <v>0</v>
      </c>
      <c r="R13" s="24">
        <f>summary!R30/365*R44</f>
        <v>0</v>
      </c>
    </row>
    <row r="14" spans="1:18" x14ac:dyDescent="0.3">
      <c r="B14" s="1" t="s">
        <v>19</v>
      </c>
      <c r="E14" s="73">
        <v>52.681888999999998</v>
      </c>
      <c r="F14" s="73">
        <v>80.421000000000006</v>
      </c>
      <c r="G14" s="73">
        <v>100.83199999999999</v>
      </c>
      <c r="H14" s="73">
        <v>126.81399999999999</v>
      </c>
      <c r="I14" s="73">
        <v>147.774</v>
      </c>
      <c r="J14" s="73">
        <v>188.13399999999999</v>
      </c>
      <c r="K14" s="73">
        <v>209.81700000000001</v>
      </c>
      <c r="L14" s="24">
        <f>L44*summary!L31/365*12/L7</f>
        <v>231.66704069886657</v>
      </c>
      <c r="M14" s="24">
        <f>M44*summary!M31/365*12/M7</f>
        <v>250.20040395477591</v>
      </c>
      <c r="N14" s="24">
        <f>N44*summary!N31/365</f>
        <v>265.21242819206242</v>
      </c>
      <c r="O14" s="24">
        <f>O44*summary!O31/365</f>
        <v>275.82092531974496</v>
      </c>
      <c r="P14" s="24">
        <f>P44*summary!P31/365</f>
        <v>281.33734382613989</v>
      </c>
      <c r="Q14" s="24">
        <f>Q44*summary!Q31/365</f>
        <v>286.96409070266265</v>
      </c>
      <c r="R14" s="24">
        <f>R44*summary!R31/365</f>
        <v>292.70337251671589</v>
      </c>
    </row>
    <row r="15" spans="1:18" x14ac:dyDescent="0.3">
      <c r="B15" s="1" t="s">
        <v>20</v>
      </c>
      <c r="E15" s="73"/>
      <c r="F15" s="73"/>
      <c r="G15" s="73"/>
      <c r="H15" s="73"/>
      <c r="I15" s="73"/>
      <c r="J15" s="73"/>
      <c r="K15" s="73"/>
      <c r="L15" s="24">
        <f t="shared" ref="L15:M17" si="16">K15</f>
        <v>0</v>
      </c>
      <c r="M15" s="24">
        <f t="shared" si="16"/>
        <v>0</v>
      </c>
      <c r="N15" s="24">
        <f t="shared" ref="N15:R15" si="17">M15</f>
        <v>0</v>
      </c>
      <c r="O15" s="24">
        <f t="shared" si="17"/>
        <v>0</v>
      </c>
      <c r="P15" s="24">
        <f t="shared" si="17"/>
        <v>0</v>
      </c>
      <c r="Q15" s="24">
        <f t="shared" si="17"/>
        <v>0</v>
      </c>
      <c r="R15" s="24">
        <f t="shared" si="17"/>
        <v>0</v>
      </c>
    </row>
    <row r="16" spans="1:18" x14ac:dyDescent="0.3">
      <c r="B16" s="1" t="s">
        <v>22</v>
      </c>
      <c r="E16" s="73"/>
      <c r="F16" s="73"/>
      <c r="G16" s="73"/>
      <c r="H16" s="73"/>
      <c r="I16" s="73"/>
      <c r="J16" s="73"/>
      <c r="K16" s="73"/>
      <c r="L16" s="24">
        <f t="shared" si="16"/>
        <v>0</v>
      </c>
      <c r="M16" s="24">
        <f t="shared" si="16"/>
        <v>0</v>
      </c>
      <c r="N16" s="24">
        <f t="shared" ref="N16:R16" si="18">M16</f>
        <v>0</v>
      </c>
      <c r="O16" s="24">
        <f t="shared" si="18"/>
        <v>0</v>
      </c>
      <c r="P16" s="24">
        <f t="shared" si="18"/>
        <v>0</v>
      </c>
      <c r="Q16" s="24">
        <f t="shared" si="18"/>
        <v>0</v>
      </c>
      <c r="R16" s="24">
        <f t="shared" si="18"/>
        <v>0</v>
      </c>
    </row>
    <row r="17" spans="2:18" x14ac:dyDescent="0.3">
      <c r="B17" s="1" t="s">
        <v>21</v>
      </c>
      <c r="E17" s="73">
        <v>0</v>
      </c>
      <c r="F17" s="73">
        <v>0.17199999999999704</v>
      </c>
      <c r="G17" s="73">
        <v>0.61300000000001376</v>
      </c>
      <c r="H17" s="73">
        <v>0.95399999999999952</v>
      </c>
      <c r="I17" s="73">
        <v>0.70800000000000374</v>
      </c>
      <c r="J17" s="73">
        <v>0.112</v>
      </c>
      <c r="K17" s="73">
        <v>0.112</v>
      </c>
      <c r="L17" s="24">
        <f t="shared" si="16"/>
        <v>0.112</v>
      </c>
      <c r="M17" s="24">
        <f t="shared" si="16"/>
        <v>0.112</v>
      </c>
      <c r="N17" s="24">
        <f t="shared" ref="N17:R17" si="19">M17</f>
        <v>0.112</v>
      </c>
      <c r="O17" s="24">
        <f t="shared" si="19"/>
        <v>0.112</v>
      </c>
      <c r="P17" s="24">
        <f t="shared" si="19"/>
        <v>0.112</v>
      </c>
      <c r="Q17" s="24">
        <f t="shared" si="19"/>
        <v>0.112</v>
      </c>
      <c r="R17" s="24">
        <f t="shared" si="19"/>
        <v>0.112</v>
      </c>
    </row>
    <row r="18" spans="2:18" x14ac:dyDescent="0.3">
      <c r="B18" s="1" t="s">
        <v>162</v>
      </c>
      <c r="E18" s="73">
        <v>0.96023400000000003</v>
      </c>
      <c r="F18" s="73">
        <v>1.52</v>
      </c>
      <c r="G18" s="73">
        <v>3.27</v>
      </c>
      <c r="H18" s="73">
        <v>11.669</v>
      </c>
      <c r="I18" s="73">
        <v>15.502000000000001</v>
      </c>
      <c r="J18" s="73">
        <v>19.155000000000001</v>
      </c>
      <c r="K18" s="73">
        <v>19.250999999999998</v>
      </c>
      <c r="L18" s="24">
        <f>K18-L78+L79+L50</f>
        <v>21.035799999999995</v>
      </c>
      <c r="M18" s="24">
        <f t="shared" ref="M18:R18" si="20">L18-M78+M79+M50</f>
        <v>28.32404</v>
      </c>
      <c r="N18" s="24">
        <f t="shared" si="20"/>
        <v>34.384540000000001</v>
      </c>
      <c r="O18" s="24">
        <f t="shared" si="20"/>
        <v>39.467446160000001</v>
      </c>
      <c r="P18" s="24">
        <f t="shared" si="20"/>
        <v>43.772967371200004</v>
      </c>
      <c r="Q18" s="24">
        <f t="shared" si="20"/>
        <v>47.461364549024005</v>
      </c>
      <c r="R18" s="24">
        <f t="shared" si="20"/>
        <v>50.660942104324484</v>
      </c>
    </row>
    <row r="19" spans="2:18" x14ac:dyDescent="0.3">
      <c r="B19" s="1" t="s">
        <v>24</v>
      </c>
      <c r="E19" s="73"/>
      <c r="F19" s="73"/>
      <c r="G19" s="73"/>
      <c r="H19" s="73"/>
      <c r="I19" s="73"/>
      <c r="J19" s="73"/>
      <c r="K19" s="73"/>
      <c r="L19" s="24">
        <f>K19</f>
        <v>0</v>
      </c>
      <c r="M19" s="24">
        <f>L19</f>
        <v>0</v>
      </c>
      <c r="N19" s="24">
        <f t="shared" ref="N19:R19" si="21">M19</f>
        <v>0</v>
      </c>
      <c r="O19" s="24">
        <f t="shared" si="21"/>
        <v>0</v>
      </c>
      <c r="P19" s="24">
        <f t="shared" si="21"/>
        <v>0</v>
      </c>
      <c r="Q19" s="24">
        <f t="shared" si="21"/>
        <v>0</v>
      </c>
      <c r="R19" s="24">
        <f t="shared" si="21"/>
        <v>0</v>
      </c>
    </row>
    <row r="20" spans="2:18" ht="15" thickBot="1" x14ac:dyDescent="0.35">
      <c r="B20" s="17" t="s">
        <v>23</v>
      </c>
      <c r="C20" s="17"/>
      <c r="D20" s="17"/>
      <c r="E20" s="74">
        <f t="shared" ref="E20:R20" si="22">SUM(E12:E19)</f>
        <v>69.068912999999995</v>
      </c>
      <c r="F20" s="74">
        <f t="shared" si="22"/>
        <v>82.314999999999998</v>
      </c>
      <c r="G20" s="74">
        <f t="shared" si="22"/>
        <v>110.247</v>
      </c>
      <c r="H20" s="74">
        <f t="shared" si="22"/>
        <v>141.70700000000002</v>
      </c>
      <c r="I20" s="74">
        <f t="shared" si="22"/>
        <v>172.20400000000001</v>
      </c>
      <c r="J20" s="74">
        <f t="shared" si="22"/>
        <v>214.96299999999999</v>
      </c>
      <c r="K20" s="74">
        <f t="shared" si="22"/>
        <v>230.42700000000002</v>
      </c>
      <c r="L20" s="26">
        <f t="shared" si="22"/>
        <v>242.28319044028427</v>
      </c>
      <c r="M20" s="26">
        <f t="shared" si="22"/>
        <v>277.42444072015059</v>
      </c>
      <c r="N20" s="26">
        <f t="shared" si="22"/>
        <v>311.81701610345766</v>
      </c>
      <c r="O20" s="26">
        <f t="shared" si="22"/>
        <v>344.73666873967778</v>
      </c>
      <c r="P20" s="26">
        <f t="shared" si="22"/>
        <v>375.41936742205775</v>
      </c>
      <c r="Q20" s="26">
        <f t="shared" si="22"/>
        <v>406.18829423488529</v>
      </c>
      <c r="R20" s="26">
        <f t="shared" si="22"/>
        <v>438.64205164837887</v>
      </c>
    </row>
    <row r="21" spans="2:18" ht="15" thickTop="1" x14ac:dyDescent="0.3">
      <c r="E21" s="73"/>
      <c r="F21" s="73"/>
      <c r="G21" s="73"/>
      <c r="H21" s="73"/>
      <c r="I21" s="73"/>
      <c r="J21" s="73"/>
      <c r="K21" s="73"/>
      <c r="L21" s="24"/>
      <c r="M21" s="24"/>
      <c r="N21" s="24"/>
      <c r="O21" s="24"/>
      <c r="P21" s="24"/>
      <c r="Q21" s="24"/>
      <c r="R21" s="24"/>
    </row>
    <row r="22" spans="2:18" x14ac:dyDescent="0.3">
      <c r="B22" s="1" t="s">
        <v>27</v>
      </c>
      <c r="E22" s="73">
        <v>22.077856000000001</v>
      </c>
      <c r="F22" s="73">
        <v>13.52</v>
      </c>
      <c r="G22" s="73">
        <v>16.04</v>
      </c>
      <c r="H22" s="73">
        <v>18.773000000000003</v>
      </c>
      <c r="I22" s="73">
        <v>24.766999999999996</v>
      </c>
      <c r="J22" s="73">
        <f>12.635+4.496</f>
        <v>17.131</v>
      </c>
      <c r="K22" s="73">
        <f>9.966+7.262</f>
        <v>17.227999999999998</v>
      </c>
      <c r="L22" s="24">
        <f>-L45*summary!L32/365*12/L7</f>
        <v>18.068878836275374</v>
      </c>
      <c r="M22" s="24">
        <f>-M45*summary!M32/365*12/M7</f>
        <v>19.514389143177404</v>
      </c>
      <c r="N22" s="24">
        <f>-N45*summary!N32/365*12/N7</f>
        <v>20.685252491768047</v>
      </c>
      <c r="O22" s="24">
        <f>-O45*summary!O32/365*12/O7</f>
        <v>21.512662591438769</v>
      </c>
      <c r="P22" s="24">
        <f>-P45*summary!P32/365*12/P7</f>
        <v>21.942915843267546</v>
      </c>
      <c r="Q22" s="24">
        <f>-Q45*summary!Q32/365*12/Q7</f>
        <v>22.381774160132895</v>
      </c>
      <c r="R22" s="24">
        <f>-R45*summary!R32/365*12/R7</f>
        <v>22.412169431440436</v>
      </c>
    </row>
    <row r="23" spans="2:18" x14ac:dyDescent="0.3">
      <c r="B23" s="1" t="s">
        <v>28</v>
      </c>
      <c r="E23" s="73"/>
      <c r="F23" s="73"/>
      <c r="G23" s="73"/>
      <c r="H23" s="73"/>
      <c r="I23" s="73"/>
      <c r="J23" s="73"/>
      <c r="K23" s="73"/>
      <c r="L23" s="24">
        <f t="shared" ref="L23:M25" si="23">K23</f>
        <v>0</v>
      </c>
      <c r="M23" s="24">
        <f t="shared" si="23"/>
        <v>0</v>
      </c>
      <c r="N23" s="24">
        <f t="shared" ref="N23:R23" si="24">M23</f>
        <v>0</v>
      </c>
      <c r="O23" s="24">
        <f t="shared" si="24"/>
        <v>0</v>
      </c>
      <c r="P23" s="24">
        <f t="shared" si="24"/>
        <v>0</v>
      </c>
      <c r="Q23" s="24">
        <f t="shared" si="24"/>
        <v>0</v>
      </c>
      <c r="R23" s="24">
        <f t="shared" si="24"/>
        <v>0</v>
      </c>
    </row>
    <row r="24" spans="2:18" x14ac:dyDescent="0.3">
      <c r="B24" s="1" t="s">
        <v>29</v>
      </c>
      <c r="E24" s="73"/>
      <c r="F24" s="73"/>
      <c r="G24" s="73"/>
      <c r="H24" s="73"/>
      <c r="I24" s="73"/>
      <c r="J24" s="73"/>
      <c r="K24" s="73"/>
      <c r="L24" s="24">
        <f t="shared" si="23"/>
        <v>0</v>
      </c>
      <c r="M24" s="24">
        <f t="shared" si="23"/>
        <v>0</v>
      </c>
      <c r="N24" s="24">
        <f t="shared" ref="N24:R24" si="25">M24</f>
        <v>0</v>
      </c>
      <c r="O24" s="24">
        <f t="shared" si="25"/>
        <v>0</v>
      </c>
      <c r="P24" s="24">
        <f t="shared" si="25"/>
        <v>0</v>
      </c>
      <c r="Q24" s="24">
        <f t="shared" si="25"/>
        <v>0</v>
      </c>
      <c r="R24" s="24">
        <f t="shared" si="25"/>
        <v>0</v>
      </c>
    </row>
    <row r="25" spans="2:18" x14ac:dyDescent="0.3">
      <c r="B25" s="1" t="s">
        <v>30</v>
      </c>
      <c r="E25" s="73"/>
      <c r="F25" s="73"/>
      <c r="G25" s="73"/>
      <c r="H25" s="73"/>
      <c r="I25" s="73"/>
      <c r="J25" s="73"/>
      <c r="K25" s="73"/>
      <c r="L25" s="24">
        <f t="shared" si="23"/>
        <v>0</v>
      </c>
      <c r="M25" s="24">
        <f t="shared" si="23"/>
        <v>0</v>
      </c>
      <c r="N25" s="24">
        <f t="shared" ref="N25:R25" si="26">M25</f>
        <v>0</v>
      </c>
      <c r="O25" s="24">
        <f t="shared" si="26"/>
        <v>0</v>
      </c>
      <c r="P25" s="24">
        <f t="shared" si="26"/>
        <v>0</v>
      </c>
      <c r="Q25" s="24">
        <f t="shared" si="26"/>
        <v>0</v>
      </c>
      <c r="R25" s="24">
        <f t="shared" si="26"/>
        <v>0</v>
      </c>
    </row>
    <row r="26" spans="2:18" x14ac:dyDescent="0.3">
      <c r="B26" s="1" t="s">
        <v>26</v>
      </c>
      <c r="E26" s="73">
        <f>'[1]3 Statement Model'!J118+'[1]3 Statement Model'!J115</f>
        <v>0.21485799999999999</v>
      </c>
      <c r="F26" s="73">
        <f>'[1]3 Statement Model'!K118+'[1]3 Statement Model'!K115</f>
        <v>13.163</v>
      </c>
      <c r="G26" s="73">
        <f>'[1]3 Statement Model'!L118+'[1]3 Statement Model'!L115</f>
        <v>18.406000000000002</v>
      </c>
      <c r="H26" s="73">
        <f>'[1]3 Statement Model'!M118+'[1]3 Statement Model'!M115</f>
        <v>31.206</v>
      </c>
      <c r="I26" s="73">
        <f>'[1]3 Statement Model'!N118+'[1]3 Statement Model'!N115</f>
        <v>36.966999999999999</v>
      </c>
      <c r="J26" s="73">
        <f>13.814+8.43+38.499+8.833</f>
        <v>69.576000000000008</v>
      </c>
      <c r="K26" s="73">
        <f>37.235+9.018+20.71+8.462</f>
        <v>75.424999999999997</v>
      </c>
      <c r="L26" s="24">
        <f>L49*summary!L33*12/L7</f>
        <v>77.028768733187263</v>
      </c>
      <c r="M26" s="24">
        <f>M49*summary!M33*12/M7</f>
        <v>83.191070231842261</v>
      </c>
      <c r="N26" s="24">
        <f>N49*summary!N33*12/N7</f>
        <v>88.182534445752765</v>
      </c>
      <c r="O26" s="24">
        <f>O49*summary!O33*12/O7</f>
        <v>91.709835823582921</v>
      </c>
      <c r="P26" s="24">
        <f>P49*summary!P33*12/P7</f>
        <v>93.544032540054573</v>
      </c>
      <c r="Q26" s="24">
        <f>Q49*summary!Q33*12/Q7</f>
        <v>95.414913190855671</v>
      </c>
      <c r="R26" s="24">
        <f>R49*summary!R33*12/R7</f>
        <v>98.686795389237886</v>
      </c>
    </row>
    <row r="27" spans="2:18" x14ac:dyDescent="0.3">
      <c r="B27" s="1" t="s">
        <v>43</v>
      </c>
      <c r="E27" s="73">
        <v>2.0178000000000001E-2</v>
      </c>
      <c r="F27" s="73">
        <v>0</v>
      </c>
      <c r="G27" s="73">
        <v>0</v>
      </c>
      <c r="H27" s="73">
        <v>3.2000000000000028E-2</v>
      </c>
      <c r="I27" s="73">
        <v>3.2000000000000028E-2</v>
      </c>
      <c r="J27" s="73">
        <f>0.032</f>
        <v>3.2000000000000001E-2</v>
      </c>
      <c r="K27" s="73">
        <v>0</v>
      </c>
      <c r="L27" s="24">
        <f>K27</f>
        <v>0</v>
      </c>
      <c r="M27" s="24">
        <f>L27</f>
        <v>0</v>
      </c>
      <c r="N27" s="24">
        <f t="shared" ref="N27:R27" si="27">M27</f>
        <v>0</v>
      </c>
      <c r="O27" s="24">
        <f t="shared" si="27"/>
        <v>0</v>
      </c>
      <c r="P27" s="24">
        <f t="shared" si="27"/>
        <v>0</v>
      </c>
      <c r="Q27" s="24">
        <f t="shared" si="27"/>
        <v>0</v>
      </c>
      <c r="R27" s="24">
        <f t="shared" si="27"/>
        <v>0</v>
      </c>
    </row>
    <row r="28" spans="2:18" ht="15" thickBot="1" x14ac:dyDescent="0.35">
      <c r="B28" s="17" t="s">
        <v>25</v>
      </c>
      <c r="C28" s="17"/>
      <c r="D28" s="17"/>
      <c r="E28" s="74">
        <f>SUM(E22:E27)</f>
        <v>22.312892000000002</v>
      </c>
      <c r="F28" s="74">
        <f>SUM(F22:F27)</f>
        <v>26.683</v>
      </c>
      <c r="G28" s="74">
        <f>SUM(G22:G27)</f>
        <v>34.445999999999998</v>
      </c>
      <c r="H28" s="74">
        <f t="shared" ref="H28:I28" si="28">SUM(H22:H27)</f>
        <v>50.010999999999996</v>
      </c>
      <c r="I28" s="74">
        <f t="shared" si="28"/>
        <v>61.765999999999991</v>
      </c>
      <c r="J28" s="74">
        <f t="shared" ref="J28:O28" si="29">SUM(J22:J27)</f>
        <v>86.739000000000004</v>
      </c>
      <c r="K28" s="74">
        <f t="shared" si="29"/>
        <v>92.652999999999992</v>
      </c>
      <c r="L28" s="26">
        <f t="shared" ref="L28" si="30">SUM(L22:L27)</f>
        <v>95.097647569462637</v>
      </c>
      <c r="M28" s="26">
        <f t="shared" si="29"/>
        <v>102.70545937501967</v>
      </c>
      <c r="N28" s="26">
        <f t="shared" si="29"/>
        <v>108.8677869375208</v>
      </c>
      <c r="O28" s="26">
        <f t="shared" si="29"/>
        <v>113.22249841502169</v>
      </c>
      <c r="P28" s="26">
        <f t="shared" ref="P28" si="31">SUM(P22:P27)</f>
        <v>115.48694838332212</v>
      </c>
      <c r="Q28" s="26">
        <f t="shared" ref="Q28" si="32">SUM(Q22:Q27)</f>
        <v>117.79668735098856</v>
      </c>
      <c r="R28" s="26">
        <f t="shared" ref="R28" si="33">SUM(R22:R27)</f>
        <v>121.09896482067832</v>
      </c>
    </row>
    <row r="29" spans="2:18" ht="15" thickTop="1" x14ac:dyDescent="0.3">
      <c r="E29" s="73"/>
      <c r="F29" s="73"/>
      <c r="G29" s="73"/>
      <c r="H29" s="73"/>
      <c r="I29" s="73"/>
      <c r="J29" s="73"/>
      <c r="K29" s="73"/>
      <c r="L29" s="24"/>
      <c r="M29" s="24"/>
      <c r="N29" s="24"/>
      <c r="O29" s="24"/>
      <c r="P29" s="24"/>
      <c r="Q29" s="24"/>
      <c r="R29" s="24"/>
    </row>
    <row r="30" spans="2:18" ht="15" thickBot="1" x14ac:dyDescent="0.35">
      <c r="B30" s="17" t="s">
        <v>31</v>
      </c>
      <c r="C30" s="17"/>
      <c r="D30" s="17"/>
      <c r="E30" s="74">
        <f t="shared" ref="E30:O30" si="34">E20-E28</f>
        <v>46.75602099999999</v>
      </c>
      <c r="F30" s="74">
        <f t="shared" ref="F30" si="35">F20-F28</f>
        <v>55.631999999999998</v>
      </c>
      <c r="G30" s="74">
        <f t="shared" si="34"/>
        <v>75.801000000000002</v>
      </c>
      <c r="H30" s="74">
        <f t="shared" ref="H30:I30" si="36">H20-H28</f>
        <v>91.696000000000026</v>
      </c>
      <c r="I30" s="74">
        <f t="shared" si="36"/>
        <v>110.43800000000002</v>
      </c>
      <c r="J30" s="74">
        <f t="shared" si="34"/>
        <v>128.22399999999999</v>
      </c>
      <c r="K30" s="74">
        <f t="shared" si="34"/>
        <v>137.77400000000003</v>
      </c>
      <c r="L30" s="26">
        <f t="shared" ref="L30" si="37">L20-L28</f>
        <v>147.18554287082162</v>
      </c>
      <c r="M30" s="26">
        <f t="shared" si="34"/>
        <v>174.71898134513091</v>
      </c>
      <c r="N30" s="26">
        <f t="shared" si="34"/>
        <v>202.94922916593686</v>
      </c>
      <c r="O30" s="26">
        <f t="shared" si="34"/>
        <v>231.51417032465611</v>
      </c>
      <c r="P30" s="26">
        <f t="shared" ref="P30:R30" si="38">P20-P28</f>
        <v>259.93241903873565</v>
      </c>
      <c r="Q30" s="26">
        <f t="shared" si="38"/>
        <v>288.39160688389671</v>
      </c>
      <c r="R30" s="26">
        <f t="shared" si="38"/>
        <v>317.54308682770056</v>
      </c>
    </row>
    <row r="31" spans="2:18" ht="15" thickTop="1" x14ac:dyDescent="0.3">
      <c r="E31" s="73"/>
      <c r="F31" s="73"/>
      <c r="G31" s="73"/>
      <c r="H31" s="73"/>
      <c r="I31" s="73"/>
      <c r="J31" s="73"/>
      <c r="K31" s="73"/>
      <c r="L31" s="24"/>
      <c r="M31" s="24"/>
      <c r="N31" s="24"/>
      <c r="O31" s="24"/>
      <c r="P31" s="24"/>
      <c r="Q31" s="24"/>
      <c r="R31" s="24"/>
    </row>
    <row r="32" spans="2:18" x14ac:dyDescent="0.3">
      <c r="B32" s="1" t="s">
        <v>32</v>
      </c>
      <c r="E32" s="73"/>
      <c r="F32" s="73"/>
      <c r="G32" s="73"/>
      <c r="H32" s="73"/>
      <c r="I32" s="73"/>
      <c r="J32" s="73">
        <f>0.058+16.161</f>
        <v>16.219000000000001</v>
      </c>
      <c r="K32" s="73">
        <f>0.059+16.161</f>
        <v>16.220000000000002</v>
      </c>
      <c r="L32" s="24">
        <f>K32</f>
        <v>16.220000000000002</v>
      </c>
      <c r="M32" s="24">
        <f>L32</f>
        <v>16.220000000000002</v>
      </c>
      <c r="N32" s="24">
        <f t="shared" ref="N32:R32" si="39">M32</f>
        <v>16.220000000000002</v>
      </c>
      <c r="O32" s="24">
        <f t="shared" si="39"/>
        <v>16.220000000000002</v>
      </c>
      <c r="P32" s="24">
        <f t="shared" si="39"/>
        <v>16.220000000000002</v>
      </c>
      <c r="Q32" s="24">
        <f t="shared" si="39"/>
        <v>16.220000000000002</v>
      </c>
      <c r="R32" s="24">
        <f t="shared" si="39"/>
        <v>16.220000000000002</v>
      </c>
    </row>
    <row r="33" spans="2:18" x14ac:dyDescent="0.3">
      <c r="B33" s="1" t="s">
        <v>33</v>
      </c>
      <c r="E33" s="73">
        <v>46.755915999999999</v>
      </c>
      <c r="F33" s="73">
        <v>55.541999999999994</v>
      </c>
      <c r="G33" s="73">
        <v>66.510999999999996</v>
      </c>
      <c r="H33" s="73">
        <v>82.406000000000006</v>
      </c>
      <c r="I33" s="73">
        <v>94.218999999999994</v>
      </c>
      <c r="J33" s="73">
        <v>109.928</v>
      </c>
      <c r="K33" s="73">
        <v>121.554</v>
      </c>
      <c r="L33" s="24">
        <f>K33+L58+L86+L87</f>
        <v>130.96554287082162</v>
      </c>
      <c r="M33" s="24">
        <f>L33+M58+M86+M87</f>
        <v>158.49898134513094</v>
      </c>
      <c r="N33" s="24">
        <f t="shared" ref="N33:R33" si="40">M33+N58+N86+N87</f>
        <v>186.72922916593683</v>
      </c>
      <c r="O33" s="24">
        <f t="shared" si="40"/>
        <v>215.29417032465605</v>
      </c>
      <c r="P33" s="24">
        <f t="shared" si="40"/>
        <v>243.71241903873559</v>
      </c>
      <c r="Q33" s="24">
        <f t="shared" si="40"/>
        <v>272.17160688389674</v>
      </c>
      <c r="R33" s="24">
        <f t="shared" si="40"/>
        <v>301.32308682770054</v>
      </c>
    </row>
    <row r="34" spans="2:18" x14ac:dyDescent="0.3">
      <c r="B34" s="1" t="s">
        <v>34</v>
      </c>
      <c r="E34" s="73">
        <v>1.05E-4</v>
      </c>
      <c r="F34" s="73">
        <v>0.09</v>
      </c>
      <c r="G34" s="73">
        <v>9.2899999999999991</v>
      </c>
      <c r="H34" s="73">
        <v>9.2899999999999991</v>
      </c>
      <c r="I34" s="73">
        <v>16.219000000000001</v>
      </c>
      <c r="J34" s="73">
        <v>2.077</v>
      </c>
      <c r="K34" s="73">
        <v>0</v>
      </c>
      <c r="L34" s="24">
        <f>K34</f>
        <v>0</v>
      </c>
      <c r="M34" s="24">
        <f>L34</f>
        <v>0</v>
      </c>
      <c r="N34" s="24">
        <f t="shared" ref="N34:R34" si="41">M34</f>
        <v>0</v>
      </c>
      <c r="O34" s="24">
        <f t="shared" si="41"/>
        <v>0</v>
      </c>
      <c r="P34" s="24">
        <f t="shared" si="41"/>
        <v>0</v>
      </c>
      <c r="Q34" s="24">
        <f t="shared" si="41"/>
        <v>0</v>
      </c>
      <c r="R34" s="24">
        <f t="shared" si="41"/>
        <v>0</v>
      </c>
    </row>
    <row r="35" spans="2:18" ht="15" thickBot="1" x14ac:dyDescent="0.35">
      <c r="B35" s="17" t="s">
        <v>35</v>
      </c>
      <c r="C35" s="17"/>
      <c r="D35" s="17"/>
      <c r="E35" s="74">
        <f>SUM(E32:E34)</f>
        <v>46.756020999999997</v>
      </c>
      <c r="F35" s="74">
        <f>SUM(F32:F34)</f>
        <v>55.631999999999998</v>
      </c>
      <c r="G35" s="74">
        <f t="shared" ref="G35:O35" si="42">SUM(G32:G34)</f>
        <v>75.800999999999988</v>
      </c>
      <c r="H35" s="74">
        <f t="shared" ref="H35:I35" si="43">SUM(H32:H34)</f>
        <v>91.695999999999998</v>
      </c>
      <c r="I35" s="74">
        <f t="shared" si="43"/>
        <v>110.43799999999999</v>
      </c>
      <c r="J35" s="74">
        <f t="shared" si="42"/>
        <v>128.22399999999999</v>
      </c>
      <c r="K35" s="74">
        <f t="shared" si="42"/>
        <v>137.774</v>
      </c>
      <c r="L35" s="26">
        <f>SUM(L32:L34)</f>
        <v>147.18554287082162</v>
      </c>
      <c r="M35" s="26">
        <f>SUM(M32:M34)</f>
        <v>174.71898134513094</v>
      </c>
      <c r="N35" s="26">
        <f>SUM(N32:N34)</f>
        <v>202.94922916593683</v>
      </c>
      <c r="O35" s="26">
        <f t="shared" si="42"/>
        <v>231.51417032465605</v>
      </c>
      <c r="P35" s="26">
        <f t="shared" ref="P35" si="44">SUM(P32:P34)</f>
        <v>259.93241903873559</v>
      </c>
      <c r="Q35" s="26">
        <f t="shared" ref="Q35" si="45">SUM(Q32:Q34)</f>
        <v>288.39160688389677</v>
      </c>
      <c r="R35" s="26">
        <f t="shared" ref="R35" si="46">SUM(R32:R34)</f>
        <v>317.54308682770056</v>
      </c>
    </row>
    <row r="36" spans="2:18" ht="15" thickTop="1" x14ac:dyDescent="0.3">
      <c r="B36" s="1" t="s">
        <v>36</v>
      </c>
      <c r="E36" s="73"/>
      <c r="F36" s="73"/>
      <c r="G36" s="73"/>
      <c r="H36" s="73"/>
      <c r="I36" s="73"/>
      <c r="J36" s="73"/>
      <c r="K36" s="73"/>
      <c r="L36" s="24">
        <f>K36+L59+L85</f>
        <v>0</v>
      </c>
      <c r="M36" s="24">
        <f>L36+M59+M85</f>
        <v>0</v>
      </c>
      <c r="N36" s="24">
        <f t="shared" ref="N36:R36" si="47">M36+N59+N85</f>
        <v>0</v>
      </c>
      <c r="O36" s="24">
        <f t="shared" si="47"/>
        <v>0</v>
      </c>
      <c r="P36" s="24">
        <f t="shared" si="47"/>
        <v>0</v>
      </c>
      <c r="Q36" s="24">
        <f t="shared" si="47"/>
        <v>0</v>
      </c>
      <c r="R36" s="24">
        <f t="shared" si="47"/>
        <v>0</v>
      </c>
    </row>
    <row r="37" spans="2:18" x14ac:dyDescent="0.3">
      <c r="B37" s="1" t="s">
        <v>148</v>
      </c>
      <c r="E37" s="73"/>
      <c r="F37" s="73"/>
      <c r="G37" s="73"/>
      <c r="H37" s="73"/>
      <c r="I37" s="73"/>
      <c r="J37" s="73"/>
      <c r="K37" s="73"/>
      <c r="L37" s="24">
        <f>K37</f>
        <v>0</v>
      </c>
      <c r="M37" s="24">
        <f>L37</f>
        <v>0</v>
      </c>
      <c r="N37" s="24">
        <f t="shared" ref="N37:R37" si="48">M37</f>
        <v>0</v>
      </c>
      <c r="O37" s="24">
        <f t="shared" si="48"/>
        <v>0</v>
      </c>
      <c r="P37" s="24">
        <f t="shared" si="48"/>
        <v>0</v>
      </c>
      <c r="Q37" s="24">
        <f t="shared" si="48"/>
        <v>0</v>
      </c>
      <c r="R37" s="24">
        <f t="shared" si="48"/>
        <v>0</v>
      </c>
    </row>
    <row r="38" spans="2:18" ht="15" thickBot="1" x14ac:dyDescent="0.35">
      <c r="B38" s="17" t="s">
        <v>37</v>
      </c>
      <c r="C38" s="17"/>
      <c r="D38" s="17"/>
      <c r="E38" s="74">
        <f t="shared" ref="E38:K38" si="49">SUM(E35:E37)</f>
        <v>46.756020999999997</v>
      </c>
      <c r="F38" s="74">
        <f t="shared" ref="F38" si="50">SUM(F35:F37)</f>
        <v>55.631999999999998</v>
      </c>
      <c r="G38" s="74">
        <f t="shared" si="49"/>
        <v>75.800999999999988</v>
      </c>
      <c r="H38" s="74">
        <f t="shared" ref="H38:I38" si="51">SUM(H35:H37)</f>
        <v>91.695999999999998</v>
      </c>
      <c r="I38" s="74">
        <f t="shared" si="51"/>
        <v>110.43799999999999</v>
      </c>
      <c r="J38" s="74">
        <f t="shared" si="49"/>
        <v>128.22399999999999</v>
      </c>
      <c r="K38" s="74">
        <f t="shared" si="49"/>
        <v>137.774</v>
      </c>
      <c r="L38" s="26">
        <f t="shared" ref="L38" si="52">SUM(L35:L37)</f>
        <v>147.18554287082162</v>
      </c>
      <c r="M38" s="26">
        <f t="shared" ref="M38:R38" si="53">SUM(M35:M37)</f>
        <v>174.71898134513094</v>
      </c>
      <c r="N38" s="26">
        <f t="shared" si="53"/>
        <v>202.94922916593683</v>
      </c>
      <c r="O38" s="26">
        <f t="shared" si="53"/>
        <v>231.51417032465605</v>
      </c>
      <c r="P38" s="26">
        <f t="shared" si="53"/>
        <v>259.93241903873559</v>
      </c>
      <c r="Q38" s="26">
        <f t="shared" si="53"/>
        <v>288.39160688389677</v>
      </c>
      <c r="R38" s="26">
        <f t="shared" si="53"/>
        <v>317.54308682770056</v>
      </c>
    </row>
    <row r="39" spans="2:18" ht="15" thickTop="1" x14ac:dyDescent="0.3">
      <c r="E39" s="60"/>
      <c r="F39" s="60"/>
      <c r="G39" s="61"/>
      <c r="H39" s="61"/>
      <c r="I39" s="61"/>
      <c r="J39" s="61"/>
      <c r="K39" s="61"/>
    </row>
    <row r="40" spans="2:18" x14ac:dyDescent="0.3">
      <c r="B40" s="21" t="s">
        <v>38</v>
      </c>
      <c r="E40" s="75">
        <f t="shared" ref="E40:Q40" si="54">ROUND(E30-E38,6)</f>
        <v>0</v>
      </c>
      <c r="F40" s="75">
        <f t="shared" ref="F40" si="55">ROUND(F30-F38,6)</f>
        <v>0</v>
      </c>
      <c r="G40" s="75">
        <f t="shared" si="54"/>
        <v>0</v>
      </c>
      <c r="H40" s="75">
        <f t="shared" ref="H40:I40" si="56">ROUND(H30-H38,6)</f>
        <v>0</v>
      </c>
      <c r="I40" s="75">
        <f t="shared" si="56"/>
        <v>0</v>
      </c>
      <c r="J40" s="75">
        <f t="shared" si="54"/>
        <v>0</v>
      </c>
      <c r="K40" s="75">
        <f t="shared" si="54"/>
        <v>0</v>
      </c>
      <c r="L40" s="23">
        <f t="shared" ref="L40" si="57">ROUND(L30-L38,6)</f>
        <v>0</v>
      </c>
      <c r="M40" s="23">
        <f t="shared" si="54"/>
        <v>0</v>
      </c>
      <c r="N40" s="23">
        <f t="shared" si="54"/>
        <v>0</v>
      </c>
      <c r="O40" s="23">
        <f t="shared" si="54"/>
        <v>0</v>
      </c>
      <c r="P40" s="23">
        <f t="shared" si="54"/>
        <v>0</v>
      </c>
      <c r="Q40" s="23">
        <f t="shared" si="54"/>
        <v>0</v>
      </c>
      <c r="R40" s="23">
        <f>ROUND(R30-R38,6)</f>
        <v>0</v>
      </c>
    </row>
    <row r="41" spans="2:18" x14ac:dyDescent="0.3">
      <c r="E41" s="60"/>
      <c r="F41" s="60"/>
      <c r="G41" s="61"/>
      <c r="H41" s="61"/>
      <c r="I41" s="61"/>
      <c r="J41" s="61"/>
      <c r="K41" s="61"/>
    </row>
    <row r="42" spans="2:18" x14ac:dyDescent="0.3">
      <c r="B42" s="2" t="s">
        <v>45</v>
      </c>
      <c r="C42" s="3"/>
      <c r="D42" s="5"/>
      <c r="E42" s="60"/>
      <c r="F42" s="60"/>
      <c r="G42" s="60"/>
      <c r="H42" s="60"/>
      <c r="I42" s="60"/>
      <c r="J42" s="60"/>
      <c r="K42" s="60"/>
      <c r="L42" s="4"/>
      <c r="M42" s="4"/>
      <c r="N42" s="4"/>
      <c r="O42" s="5"/>
      <c r="P42" s="5"/>
      <c r="Q42" s="5"/>
      <c r="R42" s="5"/>
    </row>
    <row r="43" spans="2:18" x14ac:dyDescent="0.3">
      <c r="E43" s="60"/>
      <c r="F43" s="60"/>
      <c r="G43" s="61"/>
      <c r="H43" s="61"/>
      <c r="I43" s="61"/>
      <c r="J43" s="61"/>
      <c r="K43" s="61"/>
    </row>
    <row r="44" spans="2:18" x14ac:dyDescent="0.3">
      <c r="B44" s="1" t="s">
        <v>47</v>
      </c>
      <c r="E44" s="73">
        <v>38.997504999999997</v>
      </c>
      <c r="F44" s="73">
        <v>45.302</v>
      </c>
      <c r="G44" s="73">
        <v>56.505000000000003</v>
      </c>
      <c r="H44" s="73">
        <v>78.510000000000005</v>
      </c>
      <c r="I44" s="73">
        <v>86.751999999999995</v>
      </c>
      <c r="J44" s="73">
        <v>118.23699999999999</v>
      </c>
      <c r="K44" s="73">
        <v>68.61</v>
      </c>
      <c r="L44" s="24">
        <f>K44*(1+summary!L24)^YEARFRAC(K6,L6)*L7/K7</f>
        <v>71.958775072954097</v>
      </c>
      <c r="M44" s="24">
        <f>L44*(1+summary!M24)^YEARFRAC(L6,M6)*M7/L7</f>
        <v>155.43095415758086</v>
      </c>
      <c r="N44" s="24">
        <f>M44*(1+summary!N24)^YEARFRAC(M6,N6)*N7/M7</f>
        <v>164.75681140703571</v>
      </c>
      <c r="O44" s="24">
        <f>N44*(1+summary!O24)^YEARFRAC(N6,O6)*O7/N7</f>
        <v>171.34708386331715</v>
      </c>
      <c r="P44" s="24">
        <f>O44*(1+summary!P24)^YEARFRAC(O6,P6)*P7/O7</f>
        <v>174.77402554058349</v>
      </c>
      <c r="Q44" s="24">
        <f>P44*(1+summary!Q24)^YEARFRAC(P6,Q6)*Q7/P7</f>
        <v>178.26950605139515</v>
      </c>
      <c r="R44" s="24">
        <f>Q44*(1+summary!R24)^YEARFRAC(Q6,R6)*R7/Q7</f>
        <v>181.83489617242307</v>
      </c>
    </row>
    <row r="45" spans="2:18" x14ac:dyDescent="0.3">
      <c r="B45" s="1" t="s">
        <v>48</v>
      </c>
      <c r="E45" s="73">
        <v>-8.5771850000000001</v>
      </c>
      <c r="F45" s="73">
        <v>-11.349</v>
      </c>
      <c r="G45" s="73">
        <v>-16.167999999999999</v>
      </c>
      <c r="H45" s="73">
        <v>-15.702999999999999</v>
      </c>
      <c r="I45" s="73">
        <v>-18.8</v>
      </c>
      <c r="J45" s="73">
        <v>-26.756</v>
      </c>
      <c r="K45" s="73">
        <v>-16.253</v>
      </c>
      <c r="L45" s="24">
        <f>-L44*(1-summary!L25)</f>
        <v>-17.046290209309475</v>
      </c>
      <c r="M45" s="24">
        <f>-M44*(1-summary!M25)</f>
        <v>-36.819986852108471</v>
      </c>
      <c r="N45" s="24">
        <f>-N44*(1-summary!N25)</f>
        <v>-39.029186063234981</v>
      </c>
      <c r="O45" s="24">
        <f>-O44*(1-summary!O25)</f>
        <v>-40.590353505764377</v>
      </c>
      <c r="P45" s="24">
        <f>-P44*(1-summary!P25)</f>
        <v>-41.40216057587967</v>
      </c>
      <c r="Q45" s="24">
        <f>-Q44*(1-summary!Q25)</f>
        <v>-42.230203787397258</v>
      </c>
      <c r="R45" s="24">
        <f>-R44*(1-summary!R25)</f>
        <v>-42.28755395509652</v>
      </c>
    </row>
    <row r="46" spans="2:18" ht="15" thickBot="1" x14ac:dyDescent="0.35">
      <c r="B46" s="17" t="s">
        <v>49</v>
      </c>
      <c r="C46" s="17"/>
      <c r="D46" s="17"/>
      <c r="E46" s="74">
        <f t="shared" ref="E46:O46" si="58">SUM(E44:E45)</f>
        <v>30.420319999999997</v>
      </c>
      <c r="F46" s="74">
        <f t="shared" ref="F46" si="59">SUM(F44:F45)</f>
        <v>33.953000000000003</v>
      </c>
      <c r="G46" s="74">
        <f t="shared" si="58"/>
        <v>40.337000000000003</v>
      </c>
      <c r="H46" s="74">
        <f t="shared" ref="H46:I46" si="60">SUM(H44:H45)</f>
        <v>62.807000000000002</v>
      </c>
      <c r="I46" s="74">
        <f t="shared" si="60"/>
        <v>67.951999999999998</v>
      </c>
      <c r="J46" s="74">
        <f t="shared" si="58"/>
        <v>91.480999999999995</v>
      </c>
      <c r="K46" s="74">
        <f t="shared" si="58"/>
        <v>52.356999999999999</v>
      </c>
      <c r="L46" s="26">
        <f t="shared" ref="L46" si="61">SUM(L44:L45)</f>
        <v>54.912484863644622</v>
      </c>
      <c r="M46" s="26">
        <f t="shared" si="58"/>
        <v>118.61096730547239</v>
      </c>
      <c r="N46" s="26">
        <f t="shared" si="58"/>
        <v>125.72762534380072</v>
      </c>
      <c r="O46" s="26">
        <f t="shared" si="58"/>
        <v>130.75673035755278</v>
      </c>
      <c r="P46" s="26">
        <f t="shared" ref="P46" si="62">SUM(P44:P45)</f>
        <v>133.37186496470383</v>
      </c>
      <c r="Q46" s="26">
        <f t="shared" ref="Q46" si="63">SUM(Q44:Q45)</f>
        <v>136.03930226399791</v>
      </c>
      <c r="R46" s="26">
        <f t="shared" ref="R46" si="64">SUM(R44:R45)</f>
        <v>139.54734221732656</v>
      </c>
    </row>
    <row r="47" spans="2:18" ht="15" thickTop="1" x14ac:dyDescent="0.3">
      <c r="B47" s="1" t="s">
        <v>50</v>
      </c>
      <c r="E47" s="73"/>
      <c r="F47" s="73"/>
      <c r="G47" s="73"/>
      <c r="H47" s="73"/>
      <c r="I47" s="73"/>
      <c r="J47" s="73"/>
      <c r="K47" s="73"/>
      <c r="L47" s="24"/>
      <c r="M47" s="24"/>
      <c r="N47" s="24"/>
      <c r="O47" s="24"/>
      <c r="P47" s="24"/>
      <c r="Q47" s="24"/>
      <c r="R47" s="24"/>
    </row>
    <row r="48" spans="2:18" x14ac:dyDescent="0.3">
      <c r="B48" s="1" t="s">
        <v>61</v>
      </c>
      <c r="E48" s="73">
        <v>-16.480748999999999</v>
      </c>
      <c r="F48" s="73">
        <v>-18.119</v>
      </c>
      <c r="G48" s="73">
        <v>-21.978000000000002</v>
      </c>
      <c r="H48" s="73">
        <v>-31.632000000000001</v>
      </c>
      <c r="I48" s="73">
        <v>-43.238999999999997</v>
      </c>
      <c r="J48" s="73">
        <f>-55.112-0.378</f>
        <v>-55.49</v>
      </c>
      <c r="K48" s="73">
        <f>-30.759+0.175</f>
        <v>-30.584</v>
      </c>
      <c r="L48" s="24">
        <f>-L44*summary!L26</f>
        <v>-32.676523556018687</v>
      </c>
      <c r="M48" s="24">
        <f>-M44*summary!M26</f>
        <v>-70.581290881000356</v>
      </c>
      <c r="N48" s="24">
        <f>-N44*summary!N26</f>
        <v>-74.816168333860389</v>
      </c>
      <c r="O48" s="24">
        <f>-O44*summary!O26</f>
        <v>-77.808815067214809</v>
      </c>
      <c r="P48" s="24">
        <f>-P44*summary!P26</f>
        <v>-79.364991368559103</v>
      </c>
      <c r="Q48" s="24">
        <f>-Q44*summary!Q26</f>
        <v>-80.952291195930272</v>
      </c>
      <c r="R48" s="24">
        <f>-R44*summary!R26</f>
        <v>-82.571337019848897</v>
      </c>
    </row>
    <row r="49" spans="2:18" ht="15" thickBot="1" x14ac:dyDescent="0.35">
      <c r="B49" s="17" t="s">
        <v>51</v>
      </c>
      <c r="C49" s="17"/>
      <c r="D49" s="17"/>
      <c r="E49" s="74">
        <f t="shared" ref="E49:K49" si="65">SUM(E46:E48)</f>
        <v>13.939570999999997</v>
      </c>
      <c r="F49" s="74">
        <f t="shared" ref="F49" si="66">SUM(F46:F48)</f>
        <v>15.834000000000003</v>
      </c>
      <c r="G49" s="74">
        <f t="shared" si="65"/>
        <v>18.359000000000002</v>
      </c>
      <c r="H49" s="74">
        <f t="shared" ref="H49:I49" si="67">SUM(H46:H48)</f>
        <v>31.175000000000001</v>
      </c>
      <c r="I49" s="74">
        <f t="shared" si="67"/>
        <v>24.713000000000001</v>
      </c>
      <c r="J49" s="74">
        <f t="shared" si="65"/>
        <v>35.990999999999993</v>
      </c>
      <c r="K49" s="74">
        <f t="shared" si="65"/>
        <v>21.773</v>
      </c>
      <c r="L49" s="26">
        <f t="shared" ref="L49" si="68">SUM(L46:L48)</f>
        <v>22.235961307625935</v>
      </c>
      <c r="M49" s="26">
        <f t="shared" ref="M49:O49" si="69">SUM(M46:M48)</f>
        <v>48.029676424472029</v>
      </c>
      <c r="N49" s="26">
        <f t="shared" si="69"/>
        <v>50.911457009940335</v>
      </c>
      <c r="O49" s="26">
        <f t="shared" si="69"/>
        <v>52.947915290337974</v>
      </c>
      <c r="P49" s="26">
        <f t="shared" ref="P49" si="70">SUM(P46:P48)</f>
        <v>54.006873596144729</v>
      </c>
      <c r="Q49" s="26">
        <f t="shared" ref="Q49" si="71">SUM(Q46:Q48)</f>
        <v>55.087011068067639</v>
      </c>
      <c r="R49" s="26">
        <f t="shared" ref="R49" si="72">SUM(R46:R48)</f>
        <v>56.976005197477662</v>
      </c>
    </row>
    <row r="50" spans="2:18" ht="15" thickTop="1" x14ac:dyDescent="0.3">
      <c r="B50" s="1" t="s">
        <v>52</v>
      </c>
      <c r="E50" s="73">
        <v>-0.453094</v>
      </c>
      <c r="F50" s="73">
        <v>-0.76</v>
      </c>
      <c r="G50" s="73">
        <v>-1.5740000000000001</v>
      </c>
      <c r="H50" s="73">
        <v>-6.5819999999999999</v>
      </c>
      <c r="I50" s="73">
        <v>-6.6630000000000003</v>
      </c>
      <c r="J50" s="73">
        <f>-0.137-8.504</f>
        <v>-8.641</v>
      </c>
      <c r="K50" s="73">
        <f>-5.561-0.074</f>
        <v>-5.6349999999999998</v>
      </c>
      <c r="L50" s="24">
        <f>-summary!L27*(K18)</f>
        <v>-3.8501999999999996</v>
      </c>
      <c r="M50" s="24">
        <f>-summary!M27*(L18)</f>
        <v>-4.2071599999999991</v>
      </c>
      <c r="N50" s="24">
        <f>-summary!N27*(M18)</f>
        <v>-5.6648080000000007</v>
      </c>
      <c r="O50" s="24">
        <f>-summary!O27*(N18)</f>
        <v>-6.8769080000000002</v>
      </c>
      <c r="P50" s="24">
        <f>-summary!P27*(O18)</f>
        <v>-7.8934892320000003</v>
      </c>
      <c r="Q50" s="24">
        <f>-summary!Q27*(P18)</f>
        <v>-8.7545934742400018</v>
      </c>
      <c r="R50" s="24">
        <f>-summary!R27*(Q18)</f>
        <v>-9.492272909804802</v>
      </c>
    </row>
    <row r="51" spans="2:18" ht="15" thickBot="1" x14ac:dyDescent="0.35">
      <c r="B51" s="17" t="s">
        <v>53</v>
      </c>
      <c r="C51" s="17"/>
      <c r="D51" s="17"/>
      <c r="E51" s="74">
        <f t="shared" ref="E51:O51" si="73">SUM(E49:E50)</f>
        <v>13.486476999999997</v>
      </c>
      <c r="F51" s="74">
        <f t="shared" ref="F51" si="74">SUM(F49:F50)</f>
        <v>15.074000000000003</v>
      </c>
      <c r="G51" s="74">
        <f t="shared" si="73"/>
        <v>16.785</v>
      </c>
      <c r="H51" s="74">
        <f t="shared" ref="H51:I51" si="75">SUM(H49:H50)</f>
        <v>24.593</v>
      </c>
      <c r="I51" s="74">
        <f t="shared" si="75"/>
        <v>18.05</v>
      </c>
      <c r="J51" s="74">
        <f t="shared" si="73"/>
        <v>27.349999999999994</v>
      </c>
      <c r="K51" s="74">
        <f t="shared" si="73"/>
        <v>16.137999999999998</v>
      </c>
      <c r="L51" s="26">
        <f t="shared" ref="L51" si="76">SUM(L49:L50)</f>
        <v>18.385761307625934</v>
      </c>
      <c r="M51" s="26">
        <f t="shared" si="73"/>
        <v>43.822516424472028</v>
      </c>
      <c r="N51" s="26">
        <f t="shared" si="73"/>
        <v>45.246649009940334</v>
      </c>
      <c r="O51" s="26">
        <f t="shared" si="73"/>
        <v>46.071007290337974</v>
      </c>
      <c r="P51" s="26">
        <f t="shared" ref="P51" si="77">SUM(P49:P50)</f>
        <v>46.113384364144729</v>
      </c>
      <c r="Q51" s="26">
        <f t="shared" ref="Q51" si="78">SUM(Q49:Q50)</f>
        <v>46.332417593827635</v>
      </c>
      <c r="R51" s="26">
        <f t="shared" ref="R51" si="79">SUM(R49:R50)</f>
        <v>47.483732287672858</v>
      </c>
    </row>
    <row r="52" spans="2:18" ht="15" thickTop="1" x14ac:dyDescent="0.3">
      <c r="B52" s="1" t="s">
        <v>62</v>
      </c>
      <c r="E52" s="73">
        <v>0.13334099999999999</v>
      </c>
      <c r="F52" s="73">
        <v>-0.49199999999999999</v>
      </c>
      <c r="G52" s="73">
        <v>-1.0900000000000001</v>
      </c>
      <c r="H52" s="73">
        <v>-2.202</v>
      </c>
      <c r="I52" s="73">
        <v>-2.5619999999999998</v>
      </c>
      <c r="J52" s="73">
        <v>-3.6040000000000001</v>
      </c>
      <c r="K52" s="73">
        <v>-2.5</v>
      </c>
      <c r="L52" s="24">
        <f>-AVERAGE(K26:L26)*summary!L28</f>
        <v>-6.7665725782165262</v>
      </c>
      <c r="M52" s="24">
        <f>-AVERAGE(L26:M26)*summary!M28</f>
        <v>-7.1112651253929489</v>
      </c>
      <c r="N52" s="24">
        <f>-AVERAGE(M26:N26)*summary!N28</f>
        <v>-7.606318582199151</v>
      </c>
      <c r="O52" s="24">
        <f>-AVERAGE(N26:O26)*summary!O28</f>
        <v>-7.9844190787123512</v>
      </c>
      <c r="P52" s="24">
        <f>-AVERAGE(O26:P26)*summary!P28</f>
        <v>-8.2223860787053482</v>
      </c>
      <c r="Q52" s="24">
        <f>-AVERAGE(P26:Q26)*summary!Q28</f>
        <v>-8.3868338002794562</v>
      </c>
      <c r="R52" s="24">
        <f>-AVERAGE(Q26:R26)*summary!R28</f>
        <v>-8.6150923626011036</v>
      </c>
    </row>
    <row r="53" spans="2:18" x14ac:dyDescent="0.3">
      <c r="B53" s="1" t="s">
        <v>63</v>
      </c>
      <c r="E53" s="73">
        <v>4.8000000000000001E-4</v>
      </c>
      <c r="F53" s="73">
        <v>0</v>
      </c>
      <c r="G53" s="73">
        <v>-1.411</v>
      </c>
      <c r="H53" s="73">
        <v>0</v>
      </c>
      <c r="I53" s="73">
        <v>0</v>
      </c>
      <c r="J53" s="73">
        <v>0</v>
      </c>
      <c r="K53" s="73">
        <v>0</v>
      </c>
      <c r="L53" s="24">
        <f>L73</f>
        <v>0</v>
      </c>
      <c r="M53" s="24">
        <f>M73</f>
        <v>0</v>
      </c>
      <c r="N53" s="24">
        <f t="shared" ref="N53:R53" si="80">N73</f>
        <v>0</v>
      </c>
      <c r="O53" s="24">
        <f t="shared" si="80"/>
        <v>0</v>
      </c>
      <c r="P53" s="24">
        <f t="shared" si="80"/>
        <v>0</v>
      </c>
      <c r="Q53" s="24">
        <f t="shared" si="80"/>
        <v>0</v>
      </c>
      <c r="R53" s="24">
        <f t="shared" si="80"/>
        <v>0</v>
      </c>
    </row>
    <row r="54" spans="2:18" ht="15" thickBot="1" x14ac:dyDescent="0.35">
      <c r="B54" s="17" t="s">
        <v>54</v>
      </c>
      <c r="C54" s="17"/>
      <c r="D54" s="17"/>
      <c r="E54" s="74">
        <f t="shared" ref="E54:O54" si="81">SUM(E51:E53)</f>
        <v>13.620297999999996</v>
      </c>
      <c r="F54" s="74">
        <f t="shared" ref="F54" si="82">SUM(F51:F53)</f>
        <v>14.582000000000004</v>
      </c>
      <c r="G54" s="74">
        <f>SUM(G51:G53)</f>
        <v>14.284000000000001</v>
      </c>
      <c r="H54" s="74">
        <f t="shared" ref="H54:I54" si="83">SUM(H51:H53)</f>
        <v>22.390999999999998</v>
      </c>
      <c r="I54" s="74">
        <f t="shared" si="83"/>
        <v>15.488000000000001</v>
      </c>
      <c r="J54" s="74">
        <f t="shared" si="81"/>
        <v>23.745999999999995</v>
      </c>
      <c r="K54" s="74">
        <f t="shared" si="81"/>
        <v>13.637999999999998</v>
      </c>
      <c r="L54" s="26">
        <f>SUM(L51:L53)</f>
        <v>11.619188729409409</v>
      </c>
      <c r="M54" s="26">
        <f t="shared" si="81"/>
        <v>36.71125129907908</v>
      </c>
      <c r="N54" s="26">
        <f t="shared" si="81"/>
        <v>37.640330427741183</v>
      </c>
      <c r="O54" s="26">
        <f t="shared" si="81"/>
        <v>38.086588211625624</v>
      </c>
      <c r="P54" s="26">
        <f t="shared" ref="P54" si="84">SUM(P51:P53)</f>
        <v>37.89099828543938</v>
      </c>
      <c r="Q54" s="26">
        <f t="shared" ref="Q54" si="85">SUM(Q51:Q53)</f>
        <v>37.945583793548181</v>
      </c>
      <c r="R54" s="26">
        <f t="shared" ref="R54" si="86">SUM(R51:R53)</f>
        <v>38.868639925071754</v>
      </c>
    </row>
    <row r="55" spans="2:18" ht="15" thickTop="1" x14ac:dyDescent="0.3">
      <c r="B55" s="1" t="s">
        <v>55</v>
      </c>
      <c r="E55" s="73">
        <v>-2.4121450000000002</v>
      </c>
      <c r="F55" s="73">
        <v>-2.0950000000000002</v>
      </c>
      <c r="G55" s="73">
        <v>-2.879</v>
      </c>
      <c r="H55" s="73">
        <v>-4.4029999999999996</v>
      </c>
      <c r="I55" s="73">
        <v>-3.173</v>
      </c>
      <c r="J55" s="73">
        <v>-4.5979999999999999</v>
      </c>
      <c r="K55" s="73">
        <v>-2.734</v>
      </c>
      <c r="L55" s="24">
        <f>L54*-summary!L29</f>
        <v>-2.2076458585877878</v>
      </c>
      <c r="M55" s="24">
        <f>M54*-summary!M29</f>
        <v>-9.1778128247697701</v>
      </c>
      <c r="N55" s="24">
        <f>N54*-summary!N29</f>
        <v>-9.4100826069352959</v>
      </c>
      <c r="O55" s="24">
        <f>O54*-summary!O29</f>
        <v>-9.5216470529064061</v>
      </c>
      <c r="P55" s="24">
        <f>P54*-summary!P29</f>
        <v>-9.4727495713598451</v>
      </c>
      <c r="Q55" s="24">
        <f>Q54*-summary!Q29</f>
        <v>-9.4863959483870453</v>
      </c>
      <c r="R55" s="24">
        <f>R54*-summary!R29</f>
        <v>-9.7171599812679386</v>
      </c>
    </row>
    <row r="56" spans="2:18" ht="15" thickBot="1" x14ac:dyDescent="0.35">
      <c r="B56" s="17" t="s">
        <v>56</v>
      </c>
      <c r="C56" s="17"/>
      <c r="D56" s="17"/>
      <c r="E56" s="74">
        <f t="shared" ref="E56:O56" si="87">SUM(E54:E55)</f>
        <v>11.208152999999996</v>
      </c>
      <c r="F56" s="74">
        <f t="shared" ref="F56" si="88">SUM(F54:F55)</f>
        <v>12.487000000000004</v>
      </c>
      <c r="G56" s="74">
        <f t="shared" si="87"/>
        <v>11.405000000000001</v>
      </c>
      <c r="H56" s="74">
        <f t="shared" ref="H56" si="89">SUM(H54:H55)</f>
        <v>17.988</v>
      </c>
      <c r="I56" s="74">
        <f>SUM(I54:I55)</f>
        <v>12.315000000000001</v>
      </c>
      <c r="J56" s="74">
        <f t="shared" si="87"/>
        <v>19.147999999999996</v>
      </c>
      <c r="K56" s="74">
        <f t="shared" si="87"/>
        <v>10.903999999999998</v>
      </c>
      <c r="L56" s="26">
        <f t="shared" ref="L56" si="90">SUM(L54:L55)</f>
        <v>9.41154287082162</v>
      </c>
      <c r="M56" s="26">
        <f t="shared" si="87"/>
        <v>27.53343847430931</v>
      </c>
      <c r="N56" s="26">
        <f t="shared" si="87"/>
        <v>28.230247820805886</v>
      </c>
      <c r="O56" s="26">
        <f t="shared" si="87"/>
        <v>28.564941158719218</v>
      </c>
      <c r="P56" s="26">
        <f t="shared" ref="P56:R56" si="91">SUM(P54:P55)</f>
        <v>28.418248714079535</v>
      </c>
      <c r="Q56" s="26">
        <f t="shared" si="91"/>
        <v>28.459187845161136</v>
      </c>
      <c r="R56" s="26">
        <f t="shared" si="91"/>
        <v>29.151479943803814</v>
      </c>
    </row>
    <row r="57" spans="2:18" ht="15" thickTop="1" x14ac:dyDescent="0.3">
      <c r="E57" s="73"/>
      <c r="F57" s="73"/>
      <c r="G57" s="73"/>
      <c r="H57" s="73"/>
      <c r="I57" s="73"/>
      <c r="J57" s="73"/>
      <c r="K57" s="73"/>
      <c r="L57" s="24"/>
      <c r="M57" s="24"/>
      <c r="N57" s="24"/>
      <c r="O57" s="24"/>
      <c r="P57" s="24"/>
      <c r="Q57" s="24"/>
      <c r="R57" s="24"/>
    </row>
    <row r="58" spans="2:18" x14ac:dyDescent="0.3">
      <c r="B58" s="1" t="s">
        <v>59</v>
      </c>
      <c r="E58" s="73"/>
      <c r="F58" s="73"/>
      <c r="G58" s="73"/>
      <c r="H58" s="73"/>
      <c r="I58" s="73"/>
      <c r="J58" s="73">
        <f>J56</f>
        <v>19.147999999999996</v>
      </c>
      <c r="K58" s="73">
        <f>K56</f>
        <v>10.903999999999998</v>
      </c>
      <c r="L58" s="24">
        <f>L56-L59</f>
        <v>9.41154287082162</v>
      </c>
      <c r="M58" s="24">
        <f>M56-M59</f>
        <v>27.53343847430931</v>
      </c>
      <c r="N58" s="24">
        <f t="shared" ref="N58:R58" si="92">N56-N59</f>
        <v>28.230247820805886</v>
      </c>
      <c r="O58" s="24">
        <f t="shared" si="92"/>
        <v>28.564941158719218</v>
      </c>
      <c r="P58" s="24">
        <f t="shared" si="92"/>
        <v>28.418248714079535</v>
      </c>
      <c r="Q58" s="24">
        <f t="shared" si="92"/>
        <v>28.459187845161136</v>
      </c>
      <c r="R58" s="24">
        <f t="shared" si="92"/>
        <v>29.151479943803814</v>
      </c>
    </row>
    <row r="59" spans="2:18" x14ac:dyDescent="0.3">
      <c r="B59" s="1" t="s">
        <v>60</v>
      </c>
      <c r="E59" s="73"/>
      <c r="F59" s="73"/>
      <c r="G59" s="73"/>
      <c r="H59" s="73"/>
      <c r="I59" s="73"/>
      <c r="J59" s="73">
        <v>0</v>
      </c>
      <c r="K59" s="73">
        <v>0</v>
      </c>
      <c r="L59" s="24">
        <f>L56*summary!L35</f>
        <v>0</v>
      </c>
      <c r="M59" s="24">
        <f>M56*summary!M35</f>
        <v>0</v>
      </c>
      <c r="N59" s="24">
        <f>N56*summary!N35</f>
        <v>0</v>
      </c>
      <c r="O59" s="24">
        <f>O56*summary!O35</f>
        <v>0</v>
      </c>
      <c r="P59" s="24">
        <f>P56*summary!P35</f>
        <v>0</v>
      </c>
      <c r="Q59" s="24">
        <f>Q56*summary!Q35</f>
        <v>0</v>
      </c>
      <c r="R59" s="24">
        <f>R56*summary!R35</f>
        <v>0</v>
      </c>
    </row>
    <row r="60" spans="2:18" x14ac:dyDescent="0.3">
      <c r="E60" s="73"/>
      <c r="F60" s="73"/>
      <c r="G60" s="73"/>
      <c r="H60" s="73"/>
      <c r="I60" s="73"/>
      <c r="J60" s="73"/>
      <c r="K60" s="73"/>
      <c r="L60" s="24"/>
      <c r="M60" s="24"/>
      <c r="N60" s="24"/>
      <c r="O60" s="24"/>
      <c r="P60" s="24"/>
      <c r="Q60" s="24"/>
      <c r="R60" s="24"/>
    </row>
    <row r="61" spans="2:18" x14ac:dyDescent="0.3">
      <c r="B61" s="1" t="s">
        <v>64</v>
      </c>
      <c r="E61" s="76"/>
      <c r="F61" s="76">
        <v>11.4</v>
      </c>
      <c r="G61" s="76">
        <v>10.4</v>
      </c>
      <c r="H61" s="76">
        <v>16.399999999999999</v>
      </c>
      <c r="I61" s="76">
        <v>10.8</v>
      </c>
      <c r="J61" s="76">
        <v>16.5</v>
      </c>
      <c r="K61" s="76">
        <v>9.3000000000000007</v>
      </c>
      <c r="L61" s="30">
        <f>L58/summary!$D$13*10^8</f>
        <v>7.9758837888318812</v>
      </c>
      <c r="M61" s="30">
        <f>M58/summary!$D$13*10^8</f>
        <v>23.333422435855347</v>
      </c>
      <c r="N61" s="30">
        <f>N58/summary!$D$13*10^8</f>
        <v>23.923938831191428</v>
      </c>
      <c r="O61" s="30">
        <f>O58/summary!$D$13*10^8</f>
        <v>24.207577253151882</v>
      </c>
      <c r="P61" s="30">
        <f>P58/summary!$D$13*10^8</f>
        <v>24.083261622101301</v>
      </c>
      <c r="Q61" s="30">
        <f>Q58/summary!$D$13*10^8</f>
        <v>24.117955800984014</v>
      </c>
      <c r="R61" s="30">
        <f>R58/summary!$D$13*10^8</f>
        <v>24.704644020172722</v>
      </c>
    </row>
    <row r="62" spans="2:18" x14ac:dyDescent="0.3">
      <c r="B62" s="1" t="s">
        <v>65</v>
      </c>
      <c r="E62" s="76"/>
      <c r="F62" s="76">
        <v>11.1</v>
      </c>
      <c r="G62" s="76">
        <v>10.199999999999999</v>
      </c>
      <c r="H62" s="76">
        <v>16</v>
      </c>
      <c r="I62" s="76">
        <v>10.6</v>
      </c>
      <c r="J62" s="76">
        <v>16.2</v>
      </c>
      <c r="K62" s="76">
        <v>9.3000000000000007</v>
      </c>
      <c r="L62" s="30">
        <f>L61</f>
        <v>7.9758837888318812</v>
      </c>
      <c r="M62" s="30">
        <f t="shared" ref="M62:R62" si="93">M61</f>
        <v>23.333422435855347</v>
      </c>
      <c r="N62" s="30">
        <f t="shared" si="93"/>
        <v>23.923938831191428</v>
      </c>
      <c r="O62" s="30">
        <f t="shared" si="93"/>
        <v>24.207577253151882</v>
      </c>
      <c r="P62" s="30">
        <f t="shared" si="93"/>
        <v>24.083261622101301</v>
      </c>
      <c r="Q62" s="30">
        <f t="shared" si="93"/>
        <v>24.117955800984014</v>
      </c>
      <c r="R62" s="30">
        <f t="shared" si="93"/>
        <v>24.704644020172722</v>
      </c>
    </row>
    <row r="63" spans="2:18" x14ac:dyDescent="0.3">
      <c r="E63" s="60"/>
      <c r="F63" s="60"/>
      <c r="G63" s="61"/>
      <c r="H63" s="61"/>
      <c r="I63" s="61"/>
      <c r="J63" s="61"/>
      <c r="K63" s="61"/>
    </row>
    <row r="64" spans="2:18" x14ac:dyDescent="0.3">
      <c r="B64" s="21" t="s">
        <v>57</v>
      </c>
      <c r="E64" s="29">
        <v>11.208152999999996</v>
      </c>
      <c r="F64" s="29">
        <v>12.487</v>
      </c>
      <c r="G64" s="29">
        <v>11.405000000000001</v>
      </c>
      <c r="H64" s="29">
        <v>17.988000000000007</v>
      </c>
      <c r="I64" s="29">
        <v>12.314999999999998</v>
      </c>
      <c r="J64" s="29">
        <v>19.148</v>
      </c>
      <c r="K64" s="29">
        <v>10.904</v>
      </c>
      <c r="L64" s="29">
        <f>L56</f>
        <v>9.41154287082162</v>
      </c>
      <c r="M64" s="29">
        <f>M56</f>
        <v>27.53343847430931</v>
      </c>
      <c r="N64" s="29">
        <f t="shared" ref="N64:R64" si="94">N56</f>
        <v>28.230247820805886</v>
      </c>
      <c r="O64" s="29">
        <f t="shared" si="94"/>
        <v>28.564941158719218</v>
      </c>
      <c r="P64" s="29">
        <f t="shared" si="94"/>
        <v>28.418248714079535</v>
      </c>
      <c r="Q64" s="29">
        <f t="shared" si="94"/>
        <v>28.459187845161136</v>
      </c>
      <c r="R64" s="29">
        <f t="shared" si="94"/>
        <v>29.151479943803814</v>
      </c>
    </row>
    <row r="65" spans="2:18" x14ac:dyDescent="0.3">
      <c r="B65" s="21" t="s">
        <v>38</v>
      </c>
      <c r="E65" s="77">
        <f>ROUND(E64-E56,6)</f>
        <v>0</v>
      </c>
      <c r="F65" s="77">
        <f t="shared" ref="F65:I65" si="95">ROUND(F64-F56,6)</f>
        <v>0</v>
      </c>
      <c r="G65" s="77">
        <f t="shared" si="95"/>
        <v>0</v>
      </c>
      <c r="H65" s="77">
        <f t="shared" si="95"/>
        <v>0</v>
      </c>
      <c r="I65" s="77">
        <f t="shared" si="95"/>
        <v>0</v>
      </c>
      <c r="J65" s="77">
        <f t="shared" ref="J65:Q65" si="96">ROUND(J64-J56+(J56-J58-J59),6)</f>
        <v>0</v>
      </c>
      <c r="K65" s="77">
        <f t="shared" si="96"/>
        <v>0</v>
      </c>
      <c r="L65" s="32">
        <f t="shared" ref="L65" si="97">ROUND(L64-L56+(L56-L58-L59),6)</f>
        <v>0</v>
      </c>
      <c r="M65" s="32">
        <f t="shared" si="96"/>
        <v>0</v>
      </c>
      <c r="N65" s="32">
        <f t="shared" si="96"/>
        <v>0</v>
      </c>
      <c r="O65" s="32">
        <f t="shared" si="96"/>
        <v>0</v>
      </c>
      <c r="P65" s="32">
        <f t="shared" si="96"/>
        <v>0</v>
      </c>
      <c r="Q65" s="32">
        <f t="shared" si="96"/>
        <v>0</v>
      </c>
      <c r="R65" s="32">
        <f>ROUND(R64-R56+(R56-R58-R59),6)</f>
        <v>0</v>
      </c>
    </row>
    <row r="66" spans="2:18" x14ac:dyDescent="0.3">
      <c r="E66" s="60"/>
      <c r="F66" s="60"/>
      <c r="G66" s="61"/>
      <c r="H66" s="61"/>
      <c r="I66" s="61"/>
      <c r="J66" s="61"/>
      <c r="K66" s="61"/>
    </row>
    <row r="67" spans="2:18" x14ac:dyDescent="0.3">
      <c r="B67" s="2" t="s">
        <v>66</v>
      </c>
      <c r="C67" s="3"/>
      <c r="D67" s="5"/>
      <c r="E67" s="60"/>
      <c r="F67" s="60"/>
      <c r="G67" s="60"/>
      <c r="H67" s="60"/>
      <c r="I67" s="60"/>
      <c r="J67" s="60"/>
      <c r="K67" s="60"/>
      <c r="L67" s="4"/>
      <c r="M67" s="4"/>
      <c r="N67" s="4"/>
      <c r="O67" s="5"/>
      <c r="P67" s="5"/>
      <c r="Q67" s="5"/>
      <c r="R67" s="5"/>
    </row>
    <row r="68" spans="2:18" x14ac:dyDescent="0.3">
      <c r="D68" s="24"/>
      <c r="E68" s="60"/>
      <c r="F68" s="60"/>
      <c r="G68" s="61"/>
      <c r="H68" s="61"/>
      <c r="I68" s="61"/>
      <c r="J68" s="61"/>
      <c r="K68" s="61"/>
    </row>
    <row r="69" spans="2:18" x14ac:dyDescent="0.3">
      <c r="B69" s="1" t="s">
        <v>75</v>
      </c>
      <c r="E69" s="73">
        <f>E51</f>
        <v>13.486476999999997</v>
      </c>
      <c r="F69" s="73">
        <f>F51</f>
        <v>15.074000000000003</v>
      </c>
      <c r="G69" s="73">
        <f t="shared" ref="G69:O69" si="98">G51</f>
        <v>16.785</v>
      </c>
      <c r="H69" s="73">
        <f t="shared" ref="H69:I69" si="99">H51</f>
        <v>24.593</v>
      </c>
      <c r="I69" s="73">
        <f t="shared" si="99"/>
        <v>18.05</v>
      </c>
      <c r="J69" s="73">
        <f t="shared" si="98"/>
        <v>27.349999999999994</v>
      </c>
      <c r="K69" s="73">
        <f t="shared" si="98"/>
        <v>16.137999999999998</v>
      </c>
      <c r="L69" s="24">
        <f>L51</f>
        <v>18.385761307625934</v>
      </c>
      <c r="M69" s="24">
        <f>M51</f>
        <v>43.822516424472028</v>
      </c>
      <c r="N69" s="24">
        <f t="shared" si="98"/>
        <v>45.246649009940334</v>
      </c>
      <c r="O69" s="24">
        <f t="shared" si="98"/>
        <v>46.071007290337974</v>
      </c>
      <c r="P69" s="24">
        <f t="shared" ref="P69:R69" si="100">P51</f>
        <v>46.113384364144729</v>
      </c>
      <c r="Q69" s="24">
        <f t="shared" si="100"/>
        <v>46.332417593827635</v>
      </c>
      <c r="R69" s="24">
        <f t="shared" si="100"/>
        <v>47.483732287672858</v>
      </c>
    </row>
    <row r="70" spans="2:18" x14ac:dyDescent="0.3">
      <c r="B70" s="1" t="s">
        <v>76</v>
      </c>
      <c r="E70" s="73">
        <v>-57.018236999999999</v>
      </c>
      <c r="F70" s="73">
        <v>-11.967763</v>
      </c>
      <c r="G70" s="73">
        <v>-20.207999999999998</v>
      </c>
      <c r="H70" s="73">
        <v>-26.114999999999998</v>
      </c>
      <c r="I70" s="73">
        <v>-19.404</v>
      </c>
      <c r="J70" s="73">
        <f>-40.224+3.131</f>
        <v>-37.092999999999996</v>
      </c>
      <c r="K70" s="73">
        <f>-21.682-2.667</f>
        <v>-24.348999999999997</v>
      </c>
      <c r="L70" s="24">
        <f t="shared" ref="L70:R70" si="101">K13-L13+K14-L14+L22-K22</f>
        <v>-21.009161862591188</v>
      </c>
      <c r="M70" s="24">
        <f t="shared" si="101"/>
        <v>-17.087852949007306</v>
      </c>
      <c r="N70" s="24">
        <f t="shared" si="101"/>
        <v>-13.841160888695867</v>
      </c>
      <c r="O70" s="24">
        <f t="shared" si="101"/>
        <v>-9.7810870280118181</v>
      </c>
      <c r="P70" s="24">
        <f t="shared" si="101"/>
        <v>-5.0861652545661507</v>
      </c>
      <c r="Q70" s="24">
        <f t="shared" si="101"/>
        <v>-5.1878885596574094</v>
      </c>
      <c r="R70" s="24">
        <f t="shared" si="101"/>
        <v>-5.7088865427457023</v>
      </c>
    </row>
    <row r="71" spans="2:18" x14ac:dyDescent="0.3">
      <c r="B71" s="1" t="s">
        <v>77</v>
      </c>
      <c r="E71" s="73">
        <f t="shared" ref="E71:O71" si="102">-E50</f>
        <v>0.453094</v>
      </c>
      <c r="F71" s="73">
        <f t="shared" ref="F71" si="103">-F50</f>
        <v>0.76</v>
      </c>
      <c r="G71" s="73">
        <f t="shared" si="102"/>
        <v>1.5740000000000001</v>
      </c>
      <c r="H71" s="73">
        <f t="shared" ref="H71:I71" si="104">-H50</f>
        <v>6.5819999999999999</v>
      </c>
      <c r="I71" s="73">
        <f t="shared" si="104"/>
        <v>6.6630000000000003</v>
      </c>
      <c r="J71" s="73">
        <f t="shared" ref="J71:L71" si="105">-J50</f>
        <v>8.641</v>
      </c>
      <c r="K71" s="73">
        <f t="shared" si="105"/>
        <v>5.6349999999999998</v>
      </c>
      <c r="L71" s="24">
        <f t="shared" si="105"/>
        <v>3.8501999999999996</v>
      </c>
      <c r="M71" s="24">
        <f t="shared" si="102"/>
        <v>4.2071599999999991</v>
      </c>
      <c r="N71" s="24">
        <f t="shared" si="102"/>
        <v>5.6648080000000007</v>
      </c>
      <c r="O71" s="24">
        <f t="shared" si="102"/>
        <v>6.8769080000000002</v>
      </c>
      <c r="P71" s="24">
        <f t="shared" ref="P71:R71" si="106">-P50</f>
        <v>7.8934892320000003</v>
      </c>
      <c r="Q71" s="24">
        <f t="shared" si="106"/>
        <v>8.7545934742400018</v>
      </c>
      <c r="R71" s="24">
        <f t="shared" si="106"/>
        <v>9.492272909804802</v>
      </c>
    </row>
    <row r="72" spans="2:18" x14ac:dyDescent="0.3">
      <c r="B72" s="1" t="s">
        <v>78</v>
      </c>
      <c r="E72" s="73">
        <f>E55</f>
        <v>-2.4121450000000002</v>
      </c>
      <c r="F72" s="73">
        <f t="shared" ref="F72:I72" si="107">F55</f>
        <v>-2.0950000000000002</v>
      </c>
      <c r="G72" s="73">
        <f t="shared" si="107"/>
        <v>-2.879</v>
      </c>
      <c r="H72" s="73">
        <f t="shared" si="107"/>
        <v>-4.4029999999999996</v>
      </c>
      <c r="I72" s="73">
        <f t="shared" si="107"/>
        <v>-3.173</v>
      </c>
      <c r="J72" s="73">
        <f t="shared" ref="J72:K72" si="108">J55</f>
        <v>-4.5979999999999999</v>
      </c>
      <c r="K72" s="73">
        <f t="shared" si="108"/>
        <v>-2.734</v>
      </c>
      <c r="L72" s="24">
        <f>L55</f>
        <v>-2.2076458585877878</v>
      </c>
      <c r="M72" s="24">
        <f>M55</f>
        <v>-9.1778128247697701</v>
      </c>
      <c r="N72" s="24">
        <f t="shared" ref="N72:R72" si="109">N55</f>
        <v>-9.4100826069352959</v>
      </c>
      <c r="O72" s="24">
        <f t="shared" si="109"/>
        <v>-9.5216470529064061</v>
      </c>
      <c r="P72" s="24">
        <f t="shared" si="109"/>
        <v>-9.4727495713598451</v>
      </c>
      <c r="Q72" s="24">
        <f t="shared" si="109"/>
        <v>-9.4863959483870453</v>
      </c>
      <c r="R72" s="24">
        <f t="shared" si="109"/>
        <v>-9.7171599812679386</v>
      </c>
    </row>
    <row r="73" spans="2:18" x14ac:dyDescent="0.3">
      <c r="B73" s="1" t="s">
        <v>149</v>
      </c>
      <c r="E73" s="73"/>
      <c r="F73" s="73"/>
      <c r="G73" s="73"/>
      <c r="H73" s="73"/>
      <c r="I73" s="73"/>
      <c r="J73" s="73"/>
      <c r="K73" s="73"/>
      <c r="L73" s="24">
        <f>J73*1.02</f>
        <v>0</v>
      </c>
      <c r="M73" s="24">
        <f>K73*1.02</f>
        <v>0</v>
      </c>
      <c r="N73" s="24">
        <f>M73*1.02</f>
        <v>0</v>
      </c>
      <c r="O73" s="24">
        <f>N73*1.02</f>
        <v>0</v>
      </c>
      <c r="P73" s="24">
        <f>O73*1.02</f>
        <v>0</v>
      </c>
      <c r="Q73" s="24">
        <f>P73*1.02</f>
        <v>0</v>
      </c>
      <c r="R73" s="24">
        <f>Q73*1.02</f>
        <v>0</v>
      </c>
    </row>
    <row r="74" spans="2:18" x14ac:dyDescent="0.3">
      <c r="B74" s="1" t="s">
        <v>74</v>
      </c>
      <c r="E74" s="73">
        <v>45.179222000000003</v>
      </c>
      <c r="F74" s="73">
        <v>-0.13123699999999516</v>
      </c>
      <c r="G74" s="73">
        <v>-0.69400000000001683</v>
      </c>
      <c r="H74" s="73">
        <v>0.75</v>
      </c>
      <c r="I74" s="73">
        <v>0.63099999999999667</v>
      </c>
      <c r="J74" s="73">
        <f>-7.307-SUM(J69:J73)+3.364</f>
        <v>1.7570000000000014</v>
      </c>
      <c r="K74" s="73">
        <f>-5.131-SUM(K69:K73)+2.38</f>
        <v>2.5589999999999984</v>
      </c>
      <c r="L74" s="24"/>
      <c r="M74" s="24"/>
      <c r="N74" s="24"/>
      <c r="O74" s="24"/>
      <c r="P74" s="24"/>
      <c r="Q74" s="24"/>
      <c r="R74" s="24"/>
    </row>
    <row r="75" spans="2:18" ht="15" thickBot="1" x14ac:dyDescent="0.35">
      <c r="B75" s="17" t="s">
        <v>67</v>
      </c>
      <c r="C75" s="17"/>
      <c r="D75" s="17"/>
      <c r="E75" s="74">
        <f t="shared" ref="E75:O75" si="110">SUM(E69:E74)</f>
        <v>-0.311589000000005</v>
      </c>
      <c r="F75" s="74">
        <f t="shared" ref="F75" si="111">SUM(F69:F74)</f>
        <v>1.6400000000000081</v>
      </c>
      <c r="G75" s="74">
        <f t="shared" si="110"/>
        <v>-5.4220000000000148</v>
      </c>
      <c r="H75" s="74">
        <f t="shared" ref="H75:I75" si="112">SUM(H69:H74)</f>
        <v>1.4070000000000018</v>
      </c>
      <c r="I75" s="74">
        <f t="shared" si="112"/>
        <v>2.7669999999999977</v>
      </c>
      <c r="J75" s="74">
        <f t="shared" si="110"/>
        <v>-3.9430000000000005</v>
      </c>
      <c r="K75" s="74">
        <f t="shared" si="110"/>
        <v>-2.7510000000000003</v>
      </c>
      <c r="L75" s="26">
        <f t="shared" ref="L75" si="113">SUM(L69:L74)</f>
        <v>-0.98084641355304258</v>
      </c>
      <c r="M75" s="26">
        <f t="shared" si="110"/>
        <v>21.764010650694949</v>
      </c>
      <c r="N75" s="26">
        <f t="shared" si="110"/>
        <v>27.66021351430917</v>
      </c>
      <c r="O75" s="26">
        <f t="shared" si="110"/>
        <v>33.645181209419746</v>
      </c>
      <c r="P75" s="26">
        <f t="shared" ref="P75:R75" si="114">SUM(P69:P74)</f>
        <v>39.447958770218733</v>
      </c>
      <c r="Q75" s="26">
        <f t="shared" si="114"/>
        <v>40.412726560023188</v>
      </c>
      <c r="R75" s="26">
        <f t="shared" si="114"/>
        <v>41.549958673464019</v>
      </c>
    </row>
    <row r="76" spans="2:18" ht="15" thickTop="1" x14ac:dyDescent="0.3">
      <c r="B76" s="1" t="s">
        <v>79</v>
      </c>
      <c r="E76" s="73"/>
      <c r="F76" s="73"/>
      <c r="G76" s="73"/>
      <c r="H76" s="73"/>
      <c r="I76" s="73"/>
      <c r="J76" s="73"/>
      <c r="K76" s="73"/>
      <c r="L76" s="24"/>
      <c r="M76" s="24"/>
      <c r="N76" s="24"/>
      <c r="O76" s="24"/>
      <c r="P76" s="24"/>
      <c r="Q76" s="24"/>
      <c r="R76" s="24"/>
    </row>
    <row r="77" spans="2:18" x14ac:dyDescent="0.3">
      <c r="B77" s="1" t="s">
        <v>80</v>
      </c>
      <c r="E77" s="73"/>
      <c r="F77" s="73"/>
      <c r="G77" s="73"/>
      <c r="H77" s="73"/>
      <c r="I77" s="73"/>
      <c r="J77" s="73"/>
      <c r="K77" s="73"/>
      <c r="L77" s="24"/>
      <c r="M77" s="24"/>
      <c r="N77" s="24"/>
      <c r="O77" s="24"/>
      <c r="P77" s="24"/>
      <c r="Q77" s="24"/>
      <c r="R77" s="24"/>
    </row>
    <row r="78" spans="2:18" x14ac:dyDescent="0.3">
      <c r="B78" s="1" t="s">
        <v>150</v>
      </c>
      <c r="E78" s="73">
        <v>-0.64147600000000005</v>
      </c>
      <c r="F78" s="73">
        <v>-1.29</v>
      </c>
      <c r="G78" s="73">
        <v>-3.323</v>
      </c>
      <c r="H78" s="73">
        <v>-0.63800000000000001</v>
      </c>
      <c r="I78" s="73">
        <f>--0.895</f>
        <v>0.89500000000000002</v>
      </c>
      <c r="J78" s="73">
        <v>-0.58899999999999997</v>
      </c>
      <c r="K78" s="73">
        <v>-0.56299999999999994</v>
      </c>
      <c r="L78" s="24">
        <f>-summary!L36</f>
        <v>-5.6349999999999998</v>
      </c>
      <c r="M78" s="24">
        <f>-summary!M36</f>
        <v>-11.4954</v>
      </c>
      <c r="N78" s="24">
        <f>-summary!N36</f>
        <v>-11.725308</v>
      </c>
      <c r="O78" s="24">
        <f>-summary!O36</f>
        <v>-11.959814160000001</v>
      </c>
      <c r="P78" s="24">
        <f>-summary!P36</f>
        <v>-12.199010443200001</v>
      </c>
      <c r="Q78" s="24">
        <f>-summary!Q36</f>
        <v>-12.442990652064001</v>
      </c>
      <c r="R78" s="24">
        <f>-summary!R36</f>
        <v>-12.691850465105281</v>
      </c>
    </row>
    <row r="79" spans="2:18" x14ac:dyDescent="0.3">
      <c r="B79" s="1" t="s">
        <v>81</v>
      </c>
      <c r="E79" s="73"/>
      <c r="F79" s="73"/>
      <c r="G79" s="73"/>
      <c r="H79" s="73"/>
      <c r="I79" s="73"/>
      <c r="J79" s="73"/>
      <c r="K79" s="73"/>
      <c r="L79" s="24"/>
      <c r="M79" s="24"/>
      <c r="N79" s="24"/>
      <c r="O79" s="24"/>
      <c r="P79" s="24"/>
      <c r="Q79" s="24"/>
      <c r="R79" s="24"/>
    </row>
    <row r="80" spans="2:18" x14ac:dyDescent="0.3">
      <c r="B80" s="1" t="s">
        <v>74</v>
      </c>
      <c r="E80" s="73"/>
      <c r="F80" s="73"/>
      <c r="G80" s="73"/>
      <c r="H80" s="73"/>
      <c r="I80" s="73"/>
      <c r="J80" s="73"/>
      <c r="K80" s="73"/>
      <c r="L80" s="24"/>
      <c r="M80" s="24"/>
      <c r="N80" s="24"/>
      <c r="O80" s="24"/>
      <c r="P80" s="24"/>
      <c r="Q80" s="24"/>
      <c r="R80" s="24"/>
    </row>
    <row r="81" spans="2:18" ht="15" thickBot="1" x14ac:dyDescent="0.35">
      <c r="B81" s="17" t="s">
        <v>68</v>
      </c>
      <c r="C81" s="17"/>
      <c r="D81" s="17"/>
      <c r="E81" s="74">
        <f t="shared" ref="E81:O81" si="115">SUM(E76:E80)</f>
        <v>-0.64147600000000005</v>
      </c>
      <c r="F81" s="74">
        <f t="shared" ref="F81" si="116">SUM(F76:F80)</f>
        <v>-1.29</v>
      </c>
      <c r="G81" s="74">
        <f t="shared" si="115"/>
        <v>-3.323</v>
      </c>
      <c r="H81" s="74">
        <f t="shared" ref="H81:I81" si="117">SUM(H76:H80)</f>
        <v>-0.63800000000000001</v>
      </c>
      <c r="I81" s="74">
        <f t="shared" si="117"/>
        <v>0.89500000000000002</v>
      </c>
      <c r="J81" s="74">
        <f t="shared" si="115"/>
        <v>-0.58899999999999997</v>
      </c>
      <c r="K81" s="74">
        <f t="shared" si="115"/>
        <v>-0.56299999999999994</v>
      </c>
      <c r="L81" s="26">
        <f t="shared" ref="L81" si="118">SUM(L76:L80)</f>
        <v>-5.6349999999999998</v>
      </c>
      <c r="M81" s="26">
        <f t="shared" si="115"/>
        <v>-11.4954</v>
      </c>
      <c r="N81" s="26">
        <f t="shared" si="115"/>
        <v>-11.725308</v>
      </c>
      <c r="O81" s="26">
        <f t="shared" si="115"/>
        <v>-11.959814160000001</v>
      </c>
      <c r="P81" s="26">
        <f t="shared" ref="P81:R81" si="119">SUM(P76:P80)</f>
        <v>-12.199010443200001</v>
      </c>
      <c r="Q81" s="26">
        <f t="shared" si="119"/>
        <v>-12.442990652064001</v>
      </c>
      <c r="R81" s="26">
        <f t="shared" si="119"/>
        <v>-12.691850465105281</v>
      </c>
    </row>
    <row r="82" spans="2:18" ht="15" thickTop="1" x14ac:dyDescent="0.3">
      <c r="B82" s="1" t="s">
        <v>82</v>
      </c>
      <c r="E82" s="73">
        <f>E52</f>
        <v>0.13334099999999999</v>
      </c>
      <c r="F82" s="73">
        <f>F52</f>
        <v>-0.49199999999999999</v>
      </c>
      <c r="G82" s="73">
        <f>G52</f>
        <v>-1.0900000000000001</v>
      </c>
      <c r="H82" s="73">
        <f>H52</f>
        <v>-2.202</v>
      </c>
      <c r="I82" s="73">
        <f>I52</f>
        <v>-2.5619999999999998</v>
      </c>
      <c r="J82" s="73">
        <v>-3.3639999999999999</v>
      </c>
      <c r="K82" s="73">
        <v>-2.38</v>
      </c>
      <c r="L82" s="24">
        <f>L52</f>
        <v>-6.7665725782165262</v>
      </c>
      <c r="M82" s="24">
        <f>M52</f>
        <v>-7.1112651253929489</v>
      </c>
      <c r="N82" s="24">
        <f t="shared" ref="N82:R82" si="120">N52</f>
        <v>-7.606318582199151</v>
      </c>
      <c r="O82" s="24">
        <f t="shared" si="120"/>
        <v>-7.9844190787123512</v>
      </c>
      <c r="P82" s="24">
        <f t="shared" si="120"/>
        <v>-8.2223860787053482</v>
      </c>
      <c r="Q82" s="24">
        <f t="shared" si="120"/>
        <v>-8.3868338002794562</v>
      </c>
      <c r="R82" s="24">
        <f t="shared" si="120"/>
        <v>-8.6150923626011036</v>
      </c>
    </row>
    <row r="83" spans="2:18" x14ac:dyDescent="0.3">
      <c r="B83" s="1" t="s">
        <v>83</v>
      </c>
      <c r="E83" s="73">
        <v>0.47952799999999995</v>
      </c>
      <c r="F83" s="73">
        <v>6.3879999999999999</v>
      </c>
      <c r="G83" s="73">
        <v>12.548</v>
      </c>
      <c r="H83" s="73">
        <v>0.92100000000000004</v>
      </c>
      <c r="I83" s="73">
        <v>6.01</v>
      </c>
      <c r="J83" s="73">
        <f>25.039-7.951-8.11</f>
        <v>8.9780000000000015</v>
      </c>
      <c r="K83" s="73">
        <f>10.265-4.753-4.953</f>
        <v>0.55900000000000016</v>
      </c>
      <c r="L83" s="24">
        <f>L26-K26</f>
        <v>1.6037687331872661</v>
      </c>
      <c r="M83" s="24">
        <f>M26-L26</f>
        <v>6.1623014986549975</v>
      </c>
      <c r="N83" s="24">
        <f t="shared" ref="N83:R83" si="121">N26-M26</f>
        <v>4.9914642139105041</v>
      </c>
      <c r="O83" s="24">
        <f t="shared" si="121"/>
        <v>3.5273013778301561</v>
      </c>
      <c r="P83" s="24">
        <f t="shared" si="121"/>
        <v>1.8341967164716522</v>
      </c>
      <c r="Q83" s="24">
        <f t="shared" si="121"/>
        <v>1.870880650801098</v>
      </c>
      <c r="R83" s="24">
        <f t="shared" si="121"/>
        <v>3.2718821983822153</v>
      </c>
    </row>
    <row r="84" spans="2:18" x14ac:dyDescent="0.3">
      <c r="B84" s="1" t="s">
        <v>84</v>
      </c>
      <c r="E84" s="73"/>
      <c r="F84" s="73"/>
      <c r="G84" s="73"/>
      <c r="H84" s="73"/>
      <c r="I84" s="73"/>
      <c r="J84" s="73"/>
      <c r="K84" s="73"/>
      <c r="L84" s="24"/>
      <c r="M84" s="24"/>
      <c r="N84" s="24"/>
      <c r="O84" s="24"/>
      <c r="P84" s="24"/>
      <c r="Q84" s="24"/>
      <c r="R84" s="24"/>
    </row>
    <row r="85" spans="2:18" x14ac:dyDescent="0.3">
      <c r="B85" s="1" t="s">
        <v>85</v>
      </c>
      <c r="E85" s="73"/>
      <c r="F85" s="73"/>
      <c r="G85" s="73"/>
      <c r="H85" s="73"/>
      <c r="I85" s="73"/>
      <c r="J85" s="73"/>
      <c r="K85" s="73"/>
      <c r="L85" s="24">
        <f>-L$56*summary!L$34*summary!L$35</f>
        <v>0</v>
      </c>
      <c r="M85" s="24">
        <f>-M$56*summary!M$34*summary!M$35</f>
        <v>0</v>
      </c>
      <c r="N85" s="24">
        <f>-N$56*summary!N$34*summary!N$35</f>
        <v>0</v>
      </c>
      <c r="O85" s="24">
        <f>-O$56*summary!O$34*summary!O$35</f>
        <v>0</v>
      </c>
      <c r="P85" s="24">
        <f>-P$56*summary!P$34*summary!P$35</f>
        <v>0</v>
      </c>
      <c r="Q85" s="24">
        <f>-Q$56*summary!Q$34*summary!Q$35</f>
        <v>0</v>
      </c>
      <c r="R85" s="24">
        <f>-R$56*summary!R$34*summary!R$35</f>
        <v>0</v>
      </c>
    </row>
    <row r="86" spans="2:18" x14ac:dyDescent="0.3">
      <c r="B86" s="1" t="s">
        <v>86</v>
      </c>
      <c r="E86" s="73">
        <v>-2.0201579999999999</v>
      </c>
      <c r="F86" s="73">
        <v>-3.7010000000000001</v>
      </c>
      <c r="G86" s="73">
        <v>-0.82</v>
      </c>
      <c r="H86" s="73">
        <v>-2.75</v>
      </c>
      <c r="I86" s="73">
        <v>-1.1599999999999999</v>
      </c>
      <c r="J86" s="73">
        <v>-1.74</v>
      </c>
      <c r="K86" s="73">
        <v>-1.18</v>
      </c>
      <c r="L86" s="24">
        <f>-L$56*summary!L$34*(1-summary!L$35)</f>
        <v>0</v>
      </c>
      <c r="M86" s="24">
        <f>-M$56*summary!M$34*(1-summary!M$35)</f>
        <v>0</v>
      </c>
      <c r="N86" s="24">
        <f>-N$56*summary!N$34*(1-summary!N$35)</f>
        <v>0</v>
      </c>
      <c r="O86" s="24">
        <f>-O$56*summary!O$34*(1-summary!O$35)</f>
        <v>0</v>
      </c>
      <c r="P86" s="24">
        <f>-P$56*summary!P$34*(1-summary!P$35)</f>
        <v>0</v>
      </c>
      <c r="Q86" s="24">
        <f>-Q$56*summary!Q$34*(1-summary!Q$35)</f>
        <v>0</v>
      </c>
      <c r="R86" s="24">
        <f>-R$56*summary!R$34*(1-summary!R$35)</f>
        <v>0</v>
      </c>
    </row>
    <row r="87" spans="2:18" x14ac:dyDescent="0.3">
      <c r="B87" s="1" t="s">
        <v>151</v>
      </c>
      <c r="E87" s="73"/>
      <c r="F87" s="73"/>
      <c r="G87" s="73"/>
      <c r="H87" s="73"/>
      <c r="I87" s="73"/>
      <c r="J87" s="73"/>
      <c r="K87" s="73"/>
      <c r="L87" s="24">
        <f>3.75%*-K37</f>
        <v>0</v>
      </c>
      <c r="M87" s="24">
        <f>3.75%*-L37</f>
        <v>0</v>
      </c>
      <c r="N87" s="24">
        <f>M87</f>
        <v>0</v>
      </c>
      <c r="O87" s="24">
        <f>N87</f>
        <v>0</v>
      </c>
      <c r="P87" s="24">
        <f>O87</f>
        <v>0</v>
      </c>
      <c r="Q87" s="24">
        <f>P87</f>
        <v>0</v>
      </c>
      <c r="R87" s="24">
        <f>Q87</f>
        <v>0</v>
      </c>
    </row>
    <row r="88" spans="2:18" x14ac:dyDescent="0.3">
      <c r="B88" s="1" t="s">
        <v>74</v>
      </c>
      <c r="E88" s="73">
        <f>E53</f>
        <v>4.8000000000000001E-4</v>
      </c>
      <c r="F88" s="73"/>
      <c r="G88" s="73"/>
      <c r="H88" s="73"/>
      <c r="I88" s="73"/>
      <c r="J88" s="73"/>
      <c r="K88" s="73"/>
      <c r="L88" s="24"/>
      <c r="M88" s="24"/>
      <c r="N88" s="24"/>
      <c r="O88" s="24"/>
      <c r="P88" s="24"/>
      <c r="Q88" s="24"/>
      <c r="R88" s="24"/>
    </row>
    <row r="89" spans="2:18" ht="15" thickBot="1" x14ac:dyDescent="0.35">
      <c r="B89" s="17" t="s">
        <v>69</v>
      </c>
      <c r="C89" s="17"/>
      <c r="D89" s="17"/>
      <c r="E89" s="74">
        <f t="shared" ref="E89:O89" si="122">SUM(E82:E88)</f>
        <v>-1.406809</v>
      </c>
      <c r="F89" s="74">
        <f t="shared" ref="F89" si="123">SUM(F82:F88)</f>
        <v>2.1949999999999998</v>
      </c>
      <c r="G89" s="74">
        <f t="shared" si="122"/>
        <v>10.638</v>
      </c>
      <c r="H89" s="74">
        <f t="shared" ref="H89:I89" si="124">SUM(H82:H88)</f>
        <v>-4.0309999999999997</v>
      </c>
      <c r="I89" s="74">
        <f t="shared" si="124"/>
        <v>2.2880000000000003</v>
      </c>
      <c r="J89" s="74">
        <f t="shared" si="122"/>
        <v>3.8740000000000014</v>
      </c>
      <c r="K89" s="74">
        <f t="shared" si="122"/>
        <v>-3.0009999999999994</v>
      </c>
      <c r="L89" s="26">
        <f t="shared" ref="L89" si="125">SUM(L82:L88)</f>
        <v>-5.1628038450292602</v>
      </c>
      <c r="M89" s="26">
        <f t="shared" si="122"/>
        <v>-0.94896362673795132</v>
      </c>
      <c r="N89" s="26">
        <f t="shared" si="122"/>
        <v>-2.6148543682886469</v>
      </c>
      <c r="O89" s="26">
        <f t="shared" si="122"/>
        <v>-4.4571177008821952</v>
      </c>
      <c r="P89" s="26">
        <f t="shared" ref="P89:R89" si="126">SUM(P82:P88)</f>
        <v>-6.388189362233696</v>
      </c>
      <c r="Q89" s="26">
        <f t="shared" si="126"/>
        <v>-6.5159531494783582</v>
      </c>
      <c r="R89" s="26">
        <f t="shared" si="126"/>
        <v>-5.3432101642188883</v>
      </c>
    </row>
    <row r="90" spans="2:18" ht="15" thickTop="1" x14ac:dyDescent="0.3">
      <c r="E90" s="73"/>
      <c r="F90" s="73"/>
      <c r="G90" s="73"/>
      <c r="H90" s="73"/>
      <c r="I90" s="73"/>
      <c r="J90" s="73"/>
      <c r="K90" s="73"/>
      <c r="L90" s="24"/>
      <c r="M90" s="24"/>
      <c r="N90" s="24"/>
      <c r="O90" s="24"/>
      <c r="P90" s="24"/>
      <c r="Q90" s="24"/>
      <c r="R90" s="24"/>
    </row>
    <row r="91" spans="2:18" ht="15" thickBot="1" x14ac:dyDescent="0.35">
      <c r="B91" s="17" t="s">
        <v>70</v>
      </c>
      <c r="C91" s="17"/>
      <c r="D91" s="17"/>
      <c r="E91" s="74">
        <f t="shared" ref="E91:I91" si="127">D95</f>
        <v>0</v>
      </c>
      <c r="F91" s="74">
        <f t="shared" si="127"/>
        <v>0</v>
      </c>
      <c r="G91" s="74">
        <f t="shared" si="127"/>
        <v>2.5450000000000079</v>
      </c>
      <c r="H91" s="74">
        <f t="shared" si="127"/>
        <v>4.4379999999999926</v>
      </c>
      <c r="I91" s="74">
        <f t="shared" si="127"/>
        <v>1.1759999999999948</v>
      </c>
      <c r="J91" s="74">
        <f>I95</f>
        <v>8.2200000000000006</v>
      </c>
      <c r="K91" s="74">
        <f t="shared" ref="K91:N91" si="128">J95</f>
        <v>7.5620000000000012</v>
      </c>
      <c r="L91" s="26">
        <f t="shared" si="128"/>
        <v>1.2470000000000017</v>
      </c>
      <c r="M91" s="26">
        <f t="shared" si="128"/>
        <v>-10.531650258582301</v>
      </c>
      <c r="N91" s="26">
        <f t="shared" si="128"/>
        <v>-1.2120032346253033</v>
      </c>
      <c r="O91" s="26">
        <f>N95</f>
        <v>12.10804791139522</v>
      </c>
      <c r="P91" s="26">
        <f t="shared" ref="P91:R91" si="129">O95</f>
        <v>29.33629725993277</v>
      </c>
      <c r="Q91" s="26">
        <f t="shared" si="129"/>
        <v>50.197056224717805</v>
      </c>
      <c r="R91" s="26">
        <f t="shared" si="129"/>
        <v>71.650838983198639</v>
      </c>
    </row>
    <row r="92" spans="2:18" ht="15" thickTop="1" x14ac:dyDescent="0.3">
      <c r="B92" s="1" t="s">
        <v>73</v>
      </c>
      <c r="E92" s="73">
        <f>SUM(E89,E81,E75)</f>
        <v>-2.3598740000000049</v>
      </c>
      <c r="F92" s="73">
        <f>SUM(F89,F81,F75)</f>
        <v>2.5450000000000079</v>
      </c>
      <c r="G92" s="73">
        <f>SUM(G89,G81,G75)</f>
        <v>1.8929999999999847</v>
      </c>
      <c r="H92" s="73">
        <f>SUM(H89,H81,H75)</f>
        <v>-3.2619999999999978</v>
      </c>
      <c r="I92" s="73">
        <f t="shared" ref="I92" si="130">SUM(I89,I81,I75)</f>
        <v>5.9499999999999975</v>
      </c>
      <c r="J92" s="73">
        <f>SUM(J89,J81,J75)</f>
        <v>-0.65799999999999903</v>
      </c>
      <c r="K92" s="73">
        <f t="shared" ref="K92:O92" si="131">SUM(K89,K81,K75)</f>
        <v>-6.3149999999999995</v>
      </c>
      <c r="L92" s="24">
        <f>SUM(L89,L81,L75)</f>
        <v>-11.778650258582303</v>
      </c>
      <c r="M92" s="24">
        <f>SUM(M89,M81,M75)</f>
        <v>9.319647023956998</v>
      </c>
      <c r="N92" s="24">
        <f t="shared" si="131"/>
        <v>13.320051146020523</v>
      </c>
      <c r="O92" s="24">
        <f t="shared" si="131"/>
        <v>17.228249348537553</v>
      </c>
      <c r="P92" s="24">
        <f t="shared" ref="P92:R92" si="132">SUM(P89,P81,P75)</f>
        <v>20.860758964785035</v>
      </c>
      <c r="Q92" s="24">
        <f t="shared" si="132"/>
        <v>21.453782758480827</v>
      </c>
      <c r="R92" s="24">
        <f t="shared" si="132"/>
        <v>23.514898044139848</v>
      </c>
    </row>
    <row r="93" spans="2:18" x14ac:dyDescent="0.3">
      <c r="B93" s="1" t="s">
        <v>72</v>
      </c>
      <c r="E93" s="73">
        <v>0</v>
      </c>
      <c r="F93" s="73">
        <v>0</v>
      </c>
      <c r="G93" s="73">
        <v>0</v>
      </c>
      <c r="H93" s="73">
        <v>0</v>
      </c>
      <c r="I93" s="73">
        <v>0</v>
      </c>
      <c r="J93" s="73"/>
      <c r="K93" s="73"/>
      <c r="L93" s="24"/>
      <c r="M93" s="24"/>
      <c r="N93" s="24"/>
      <c r="O93" s="24"/>
      <c r="P93" s="24"/>
      <c r="Q93" s="24"/>
      <c r="R93" s="24"/>
    </row>
    <row r="94" spans="2:18" x14ac:dyDescent="0.3">
      <c r="B94" s="1" t="s">
        <v>74</v>
      </c>
      <c r="E94" s="73"/>
      <c r="F94" s="73"/>
      <c r="G94" s="73"/>
      <c r="H94" s="73"/>
      <c r="I94" s="73"/>
      <c r="J94" s="73"/>
      <c r="K94" s="73"/>
      <c r="L94" s="24"/>
      <c r="M94" s="24"/>
      <c r="N94" s="24"/>
      <c r="O94" s="24"/>
      <c r="P94" s="24"/>
      <c r="Q94" s="24"/>
      <c r="R94" s="24"/>
    </row>
    <row r="95" spans="2:18" ht="15" thickBot="1" x14ac:dyDescent="0.35">
      <c r="B95" s="17" t="s">
        <v>71</v>
      </c>
      <c r="C95" s="17"/>
      <c r="D95" s="17"/>
      <c r="E95" s="74">
        <v>0</v>
      </c>
      <c r="F95" s="74">
        <f t="shared" ref="F95:O95" si="133">SUM(F91:F94)</f>
        <v>2.5450000000000079</v>
      </c>
      <c r="G95" s="74">
        <f t="shared" si="133"/>
        <v>4.4379999999999926</v>
      </c>
      <c r="H95" s="74">
        <f t="shared" ref="H95" si="134">SUM(H91:H94)</f>
        <v>1.1759999999999948</v>
      </c>
      <c r="I95" s="74">
        <v>8.2200000000000006</v>
      </c>
      <c r="J95" s="74">
        <f t="shared" si="133"/>
        <v>7.5620000000000012</v>
      </c>
      <c r="K95" s="74">
        <f t="shared" si="133"/>
        <v>1.2470000000000017</v>
      </c>
      <c r="L95" s="26">
        <f t="shared" ref="L95" si="135">SUM(L91:L94)</f>
        <v>-10.531650258582301</v>
      </c>
      <c r="M95" s="26">
        <f t="shared" si="133"/>
        <v>-1.2120032346253033</v>
      </c>
      <c r="N95" s="26">
        <f t="shared" si="133"/>
        <v>12.10804791139522</v>
      </c>
      <c r="O95" s="26">
        <f t="shared" si="133"/>
        <v>29.33629725993277</v>
      </c>
      <c r="P95" s="26">
        <f t="shared" ref="P95:R95" si="136">SUM(P91:P94)</f>
        <v>50.197056224717805</v>
      </c>
      <c r="Q95" s="26">
        <f t="shared" si="136"/>
        <v>71.650838983198639</v>
      </c>
      <c r="R95" s="26">
        <f t="shared" si="136"/>
        <v>95.16573702733848</v>
      </c>
    </row>
    <row r="96" spans="2:18" ht="15" thickTop="1" x14ac:dyDescent="0.3"/>
    <row r="97" spans="2:18" x14ac:dyDescent="0.3">
      <c r="B97" s="21" t="s">
        <v>57</v>
      </c>
      <c r="E97" s="29"/>
      <c r="F97" s="29"/>
      <c r="G97" s="29"/>
      <c r="H97" s="29"/>
      <c r="I97" s="29"/>
      <c r="J97" s="29">
        <v>7.5620000000000003</v>
      </c>
      <c r="K97" s="29">
        <v>1.2470000000000001</v>
      </c>
      <c r="L97" s="29">
        <f t="shared" ref="L97:R97" si="137">L12</f>
        <v>-10.531650258582301</v>
      </c>
      <c r="M97" s="29">
        <f t="shared" si="137"/>
        <v>-1.2120032346253033</v>
      </c>
      <c r="N97" s="29">
        <f t="shared" si="137"/>
        <v>12.10804791139522</v>
      </c>
      <c r="O97" s="29">
        <f t="shared" si="137"/>
        <v>29.33629725993277</v>
      </c>
      <c r="P97" s="29">
        <f t="shared" si="137"/>
        <v>50.197056224717805</v>
      </c>
      <c r="Q97" s="29">
        <f t="shared" si="137"/>
        <v>71.650838983198639</v>
      </c>
      <c r="R97" s="29">
        <f t="shared" si="137"/>
        <v>95.16573702733848</v>
      </c>
    </row>
    <row r="98" spans="2:18" x14ac:dyDescent="0.3">
      <c r="B98" s="21" t="s">
        <v>38</v>
      </c>
      <c r="E98" s="23"/>
      <c r="F98" s="23"/>
      <c r="G98" s="23"/>
      <c r="H98" s="23"/>
      <c r="I98" s="23"/>
      <c r="J98" s="23">
        <f>J97-J95</f>
        <v>0</v>
      </c>
      <c r="K98" s="23">
        <f>K97-K95</f>
        <v>0</v>
      </c>
      <c r="L98" s="23">
        <f t="shared" ref="L98" si="138">L97-L95</f>
        <v>0</v>
      </c>
      <c r="M98" s="23">
        <f t="shared" ref="M98:R98" si="139">M97-M95</f>
        <v>0</v>
      </c>
      <c r="N98" s="23">
        <f t="shared" si="139"/>
        <v>0</v>
      </c>
      <c r="O98" s="23">
        <f t="shared" si="139"/>
        <v>0</v>
      </c>
      <c r="P98" s="23">
        <f t="shared" si="139"/>
        <v>0</v>
      </c>
      <c r="Q98" s="23">
        <f t="shared" si="139"/>
        <v>0</v>
      </c>
      <c r="R98" s="23">
        <f t="shared" si="139"/>
        <v>0</v>
      </c>
    </row>
  </sheetData>
  <sheetProtection algorithmName="SHA-512" hashValue="z0pEdm4rGvXAvxUtXYK1gdDhGRWpKbsKQZgOJ8qYiZPQbkK3rZmmibZkqTwYVZyFksynzBQmJ/kIVQ+tEi0tog==" saltValue="F8jC6E/QnJVRr04hkbg9LQ==" spinCount="100000" sheet="1" formatCells="0" formatColumns="0" formatRows="0" insertColumns="0" insertRows="0" insertHyperlinks="0" deleteColumns="0" deleteRows="0" selectLockedCells="1" sort="0" autoFilter="0" pivotTables="0"/>
  <conditionalFormatting sqref="E40:R40 E65:R65">
    <cfRule type="cellIs" dxfId="5" priority="46" operator="equal">
      <formula>0</formula>
    </cfRule>
  </conditionalFormatting>
  <conditionalFormatting sqref="E98:R98">
    <cfRule type="cellIs" dxfId="4" priority="36" operator="equal">
      <formula>0</formula>
    </cfRule>
  </conditionalFormatting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FD2E710A-171D-47AC-95F6-04A30387347E}">
            <xm:f>D$6&gt;cover!$E$13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E44:R45 E47:R48 E55:R55 E76:R80 E36:R37 E32:R34 E58:R59 E69:R74 E52:R53 E50:R50 E12:R19 E22:R27 E92:R94 D68 E82:R88 E61:R62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ED5BE-0D9E-4093-8F12-2222BD290101}">
  <dimension ref="A1:P10"/>
  <sheetViews>
    <sheetView workbookViewId="0">
      <selection activeCell="A4" sqref="A4"/>
    </sheetView>
  </sheetViews>
  <sheetFormatPr defaultColWidth="9.109375" defaultRowHeight="14.4" x14ac:dyDescent="0.3"/>
  <cols>
    <col min="1" max="1" width="2.6640625" style="1" customWidth="1"/>
    <col min="2" max="5" width="12.6640625" style="1" customWidth="1"/>
    <col min="6" max="6" width="12.6640625" style="8" customWidth="1"/>
    <col min="7" max="52" width="12.6640625" style="1" customWidth="1"/>
    <col min="53" max="16384" width="9.109375" style="1"/>
  </cols>
  <sheetData>
    <row r="1" spans="1:16" ht="33.6" x14ac:dyDescent="0.65">
      <c r="B1" s="88" t="s">
        <v>192</v>
      </c>
    </row>
    <row r="2" spans="1:16" s="15" customFormat="1" ht="15" thickBot="1" x14ac:dyDescent="0.35">
      <c r="A2" s="13"/>
      <c r="B2" s="14" t="str">
        <f>UPPER(cover!E8&amp;" - "&amp;DAY(cover!E12)&amp;"/"&amp;MONTH(cover!E12)&amp;"/"&amp;YEAR(cover!E12))</f>
        <v>ANEXO GROUP PLC - 4/3/2023</v>
      </c>
      <c r="F2" s="13"/>
    </row>
    <row r="3" spans="1:16" ht="15" thickTop="1" x14ac:dyDescent="0.3">
      <c r="B3" s="25" t="str">
        <f>IF($E$10&lt;&gt;0,"**ERROR**","")</f>
        <v/>
      </c>
    </row>
    <row r="4" spans="1:16" s="3" customFormat="1" x14ac:dyDescent="0.3">
      <c r="A4" s="5"/>
      <c r="B4" s="2" t="s">
        <v>39</v>
      </c>
      <c r="F4" s="4"/>
    </row>
    <row r="6" spans="1:16" x14ac:dyDescent="0.3">
      <c r="B6" s="1" t="s">
        <v>40</v>
      </c>
      <c r="E6" s="23">
        <f>SUM('detailed-financials'!E40:O40)</f>
        <v>0</v>
      </c>
      <c r="F6" s="20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3">
      <c r="B7" s="1" t="s">
        <v>41</v>
      </c>
      <c r="E7" s="23">
        <f>SUM('detailed-financials'!E65:O65)</f>
        <v>0</v>
      </c>
      <c r="F7" s="20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3">
      <c r="B8" s="1" t="s">
        <v>42</v>
      </c>
      <c r="E8" s="23">
        <f>SUM('detailed-financials'!E98:O98)</f>
        <v>0</v>
      </c>
      <c r="F8" s="20"/>
      <c r="G8" s="19"/>
      <c r="H8" s="19"/>
      <c r="I8" s="19"/>
      <c r="J8" s="19"/>
      <c r="K8" s="19"/>
      <c r="L8" s="19"/>
      <c r="M8" s="19"/>
      <c r="N8" s="19"/>
      <c r="O8" s="19"/>
      <c r="P8" s="19"/>
    </row>
    <row r="10" spans="1:16" x14ac:dyDescent="0.3">
      <c r="B10" s="21" t="s">
        <v>38</v>
      </c>
      <c r="E10" s="23">
        <f>SUM(E6:E8)</f>
        <v>0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</sheetData>
  <sheetProtection algorithmName="SHA-512" hashValue="SBqufY3+skigr7bZ3zLuQP4Jo3X6g69v4/B9qbe0Tm2hFjCQkUXHT8ho3fabnD7NovtxM/cmBErsDBKS/4VzFA==" saltValue="pj/xZkldaemta8HZbCH/dg==" spinCount="100000" sheet="1" formatCells="0" formatColumns="0" formatRows="0" insertColumns="0" insertRows="0" insertHyperlinks="0" deleteColumns="0" deleteRows="0" selectLockedCells="1" sort="0" autoFilter="0" pivotTables="0"/>
  <conditionalFormatting sqref="F10:P10">
    <cfRule type="cellIs" dxfId="2" priority="3" operator="notEqual">
      <formula>"OK"</formula>
    </cfRule>
  </conditionalFormatting>
  <conditionalFormatting sqref="E6:E8">
    <cfRule type="cellIs" dxfId="1" priority="2" operator="equal">
      <formula>0</formula>
    </cfRule>
  </conditionalFormatting>
  <conditionalFormatting sqref="E10">
    <cfRule type="cellIs" dxfId="0" priority="1" operator="equal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summary</vt:lpstr>
      <vt:lpstr>WACC</vt:lpstr>
      <vt:lpstr>detailed-financials</vt:lpstr>
      <vt:lpstr>checks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2022-10-29T12:00:07Z</dcterms:created>
  <dcterms:modified xsi:type="dcterms:W3CDTF">2023-05-13T13:49:43Z</dcterms:modified>
</cp:coreProperties>
</file>