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STB\"/>
    </mc:Choice>
  </mc:AlternateContent>
  <xr:revisionPtr revIDLastSave="0" documentId="13_ncr:1_{AD2A8AE9-FDC4-4584-B0F8-AACB1728624C}" xr6:coauthVersionLast="47" xr6:coauthVersionMax="47" xr10:uidLastSave="{00000000-0000-0000-0000-000000000000}"/>
  <workbookProtection workbookAlgorithmName="SHA-512" workbookHashValue="1ZcPkbb5Ogw/WMcuUAMu1mqqN46zwbQv2IsES0JukiBSe7KziceDA9r8co2j5LdCpx1VqgKlIKYFByKw6lqDcg==" workbookSaltValue="qXQpZdrCD0aQtUr/VJlLSw==" workbookSpinCount="100000" lockStructure="1"/>
  <bookViews>
    <workbookView xWindow="28680" yWindow="-120" windowWidth="29040" windowHeight="15720" firstSheet="1" activeTab="1" xr2:uid="{4464965C-57E2-470B-B959-64ECF7EB36CC}"/>
  </bookViews>
  <sheets>
    <sheet name="cover" sheetId="1" state="hidden" r:id="rId1"/>
    <sheet name="summary" sheetId="10" r:id="rId2"/>
    <sheet name="Sheet1" sheetId="12" state="hidden" r:id="rId3"/>
    <sheet name="cost-of-equity" sheetId="11" r:id="rId4"/>
    <sheet name="detailed-financials" sheetId="4" r:id="rId5"/>
    <sheet name="checks" sheetId="6" r:id="rId6"/>
  </sheets>
  <externalReferences>
    <externalReference r:id="rId7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0" l="1"/>
  <c r="K69" i="10"/>
  <c r="D10" i="10"/>
  <c r="J68" i="10"/>
  <c r="I68" i="10"/>
  <c r="H68" i="10"/>
  <c r="G68" i="10"/>
  <c r="F68" i="10"/>
  <c r="E68" i="10"/>
  <c r="J65" i="10"/>
  <c r="I65" i="10"/>
  <c r="I86" i="4"/>
  <c r="I88" i="4"/>
  <c r="I80" i="4"/>
  <c r="I79" i="4"/>
  <c r="I76" i="4"/>
  <c r="I72" i="4"/>
  <c r="I49" i="4"/>
  <c r="I29" i="4"/>
  <c r="I28" i="4"/>
  <c r="I18" i="4"/>
  <c r="I17" i="4"/>
  <c r="C6" i="12"/>
  <c r="B6" i="12"/>
  <c r="C5" i="12"/>
  <c r="B5" i="12"/>
  <c r="C4" i="12"/>
  <c r="B4" i="12"/>
  <c r="H75" i="10"/>
  <c r="I56" i="10"/>
  <c r="H7" i="10" s="1"/>
  <c r="H56" i="10"/>
  <c r="G56" i="10"/>
  <c r="F56" i="10"/>
  <c r="E56" i="10"/>
  <c r="I8" i="11"/>
  <c r="I12" i="11"/>
  <c r="I11" i="11"/>
  <c r="I10" i="11"/>
  <c r="J63" i="10" l="1"/>
  <c r="I63" i="10"/>
  <c r="I13" i="11"/>
  <c r="I14" i="11" s="1"/>
  <c r="D6" i="10" s="1"/>
  <c r="O36" i="10" l="1"/>
  <c r="O20" i="10"/>
  <c r="I51" i="10"/>
  <c r="H51" i="10"/>
  <c r="G51" i="10"/>
  <c r="F51" i="10"/>
  <c r="E51" i="10"/>
  <c r="I49" i="10"/>
  <c r="H49" i="10"/>
  <c r="G49" i="10"/>
  <c r="F49" i="10"/>
  <c r="E49" i="10"/>
  <c r="I40" i="10"/>
  <c r="H40" i="10"/>
  <c r="G40" i="10"/>
  <c r="F40" i="10"/>
  <c r="E40" i="10"/>
  <c r="I38" i="10"/>
  <c r="H38" i="10"/>
  <c r="G38" i="10"/>
  <c r="F38" i="10"/>
  <c r="E38" i="10"/>
  <c r="E24" i="10"/>
  <c r="E30" i="10"/>
  <c r="E29" i="10"/>
  <c r="E27" i="10"/>
  <c r="E26" i="10"/>
  <c r="E18" i="10"/>
  <c r="E57" i="10" s="1"/>
  <c r="E17" i="10"/>
  <c r="F24" i="10"/>
  <c r="F30" i="10"/>
  <c r="F29" i="10"/>
  <c r="F27" i="10"/>
  <c r="F26" i="10"/>
  <c r="F18" i="10"/>
  <c r="F57" i="10" s="1"/>
  <c r="O18" i="10"/>
  <c r="N18" i="10"/>
  <c r="M18" i="10"/>
  <c r="L18" i="10"/>
  <c r="K18" i="10"/>
  <c r="J18" i="10"/>
  <c r="I18" i="10"/>
  <c r="H18" i="10"/>
  <c r="G18" i="10"/>
  <c r="G57" i="10" s="1"/>
  <c r="I24" i="10"/>
  <c r="H24" i="10"/>
  <c r="G24" i="10"/>
  <c r="I30" i="10"/>
  <c r="H30" i="10"/>
  <c r="G30" i="10"/>
  <c r="I29" i="10"/>
  <c r="J29" i="10" s="1"/>
  <c r="G29" i="10"/>
  <c r="L27" i="10"/>
  <c r="M27" i="10" s="1"/>
  <c r="N27" i="10" s="1"/>
  <c r="O27" i="10" s="1"/>
  <c r="I27" i="10"/>
  <c r="H27" i="10"/>
  <c r="G27" i="10"/>
  <c r="D9" i="10"/>
  <c r="E65" i="10" s="1"/>
  <c r="D65" i="10"/>
  <c r="B3" i="10"/>
  <c r="E88" i="4"/>
  <c r="G80" i="4"/>
  <c r="F80" i="4"/>
  <c r="E76" i="4"/>
  <c r="E72" i="4"/>
  <c r="E34" i="4"/>
  <c r="E29" i="4"/>
  <c r="E17" i="4"/>
  <c r="F88" i="4"/>
  <c r="F81" i="4"/>
  <c r="F76" i="4"/>
  <c r="F72" i="4"/>
  <c r="G88" i="4"/>
  <c r="G76" i="4"/>
  <c r="G72" i="4"/>
  <c r="F34" i="4"/>
  <c r="F29" i="4"/>
  <c r="F28" i="4"/>
  <c r="G29" i="4"/>
  <c r="G28" i="4"/>
  <c r="F17" i="4"/>
  <c r="F20" i="4"/>
  <c r="F18" i="4"/>
  <c r="G17" i="4"/>
  <c r="G20" i="4"/>
  <c r="G19" i="4"/>
  <c r="G18" i="4"/>
  <c r="H88" i="4"/>
  <c r="H80" i="4"/>
  <c r="H76" i="4"/>
  <c r="H72" i="4"/>
  <c r="H49" i="4"/>
  <c r="H29" i="10" s="1"/>
  <c r="H36" i="4"/>
  <c r="H28" i="4"/>
  <c r="H29" i="4"/>
  <c r="H18" i="4"/>
  <c r="H20" i="4"/>
  <c r="H19" i="4"/>
  <c r="H17" i="4"/>
  <c r="H34" i="4"/>
  <c r="G34" i="4"/>
  <c r="I34" i="4"/>
  <c r="J28" i="4"/>
  <c r="K28" i="4" s="1"/>
  <c r="L28" i="4" s="1"/>
  <c r="M28" i="4" s="1"/>
  <c r="N28" i="4" s="1"/>
  <c r="O28" i="4" s="1"/>
  <c r="J18" i="4"/>
  <c r="K18" i="4" s="1"/>
  <c r="L18" i="4" s="1"/>
  <c r="M18" i="4" s="1"/>
  <c r="N18" i="4" s="1"/>
  <c r="O18" i="4" s="1"/>
  <c r="J27" i="4"/>
  <c r="K27" i="4" s="1"/>
  <c r="L27" i="4" s="1"/>
  <c r="M27" i="4" s="1"/>
  <c r="N27" i="4" s="1"/>
  <c r="O27" i="4" s="1"/>
  <c r="J19" i="4"/>
  <c r="K19" i="4" s="1"/>
  <c r="L19" i="4" s="1"/>
  <c r="M19" i="4" s="1"/>
  <c r="N19" i="4" s="1"/>
  <c r="O19" i="4" s="1"/>
  <c r="J14" i="4"/>
  <c r="K14" i="4" s="1"/>
  <c r="L14" i="4" s="1"/>
  <c r="M14" i="4" s="1"/>
  <c r="N14" i="4" s="1"/>
  <c r="O14" i="4" s="1"/>
  <c r="E14" i="1"/>
  <c r="E48" i="4"/>
  <c r="E51" i="4" s="1"/>
  <c r="E53" i="4" s="1"/>
  <c r="J66" i="10" l="1"/>
  <c r="I66" i="10"/>
  <c r="J30" i="10"/>
  <c r="K30" i="10" s="1"/>
  <c r="E47" i="10"/>
  <c r="E48" i="10" s="1"/>
  <c r="E28" i="10"/>
  <c r="F65" i="10"/>
  <c r="I23" i="10"/>
  <c r="J23" i="4" s="1"/>
  <c r="K23" i="4" s="1"/>
  <c r="L23" i="4" s="1"/>
  <c r="M23" i="4" s="1"/>
  <c r="N23" i="4" s="1"/>
  <c r="O23" i="4" s="1"/>
  <c r="I57" i="10"/>
  <c r="H22" i="10"/>
  <c r="H57" i="10"/>
  <c r="F22" i="10"/>
  <c r="G23" i="10"/>
  <c r="G22" i="10"/>
  <c r="H23" i="10"/>
  <c r="I22" i="10"/>
  <c r="J13" i="4" s="1"/>
  <c r="K13" i="4" s="1"/>
  <c r="L13" i="4" s="1"/>
  <c r="M13" i="4" s="1"/>
  <c r="N13" i="4" s="1"/>
  <c r="O13" i="4" s="1"/>
  <c r="F23" i="10"/>
  <c r="E66" i="10"/>
  <c r="H50" i="10"/>
  <c r="I50" i="10"/>
  <c r="F52" i="10"/>
  <c r="H52" i="10"/>
  <c r="G41" i="10"/>
  <c r="I52" i="10"/>
  <c r="G52" i="10"/>
  <c r="F41" i="10"/>
  <c r="E52" i="10"/>
  <c r="H41" i="10"/>
  <c r="E50" i="10"/>
  <c r="F50" i="10"/>
  <c r="I42" i="10"/>
  <c r="H42" i="10"/>
  <c r="G39" i="10"/>
  <c r="H39" i="10"/>
  <c r="I39" i="10"/>
  <c r="I41" i="10"/>
  <c r="E42" i="10"/>
  <c r="F42" i="10"/>
  <c r="G50" i="10"/>
  <c r="G42" i="10"/>
  <c r="F39" i="10"/>
  <c r="K29" i="10"/>
  <c r="L29" i="10" s="1"/>
  <c r="M29" i="10" s="1"/>
  <c r="N29" i="10" s="1"/>
  <c r="O29" i="10" s="1"/>
  <c r="L30" i="10"/>
  <c r="N30" i="10"/>
  <c r="M30" i="10"/>
  <c r="O30" i="10"/>
  <c r="E56" i="4"/>
  <c r="E31" i="10" s="1"/>
  <c r="G84" i="4"/>
  <c r="F84" i="4"/>
  <c r="G65" i="10" l="1"/>
  <c r="J38" i="10"/>
  <c r="J39" i="10" s="1"/>
  <c r="J54" i="4"/>
  <c r="J51" i="10" s="1"/>
  <c r="E71" i="4"/>
  <c r="K38" i="10"/>
  <c r="J39" i="4"/>
  <c r="K39" i="10" l="1"/>
  <c r="H65" i="10"/>
  <c r="K54" i="4"/>
  <c r="K51" i="10" s="1"/>
  <c r="K39" i="4"/>
  <c r="B2" i="6"/>
  <c r="B2" i="11" l="1"/>
  <c r="B2" i="4"/>
  <c r="B2" i="1"/>
  <c r="L38" i="10"/>
  <c r="L39" i="10" s="1"/>
  <c r="B2" i="10"/>
  <c r="L54" i="4"/>
  <c r="L51" i="10" s="1"/>
  <c r="L39" i="4"/>
  <c r="M54" i="4" l="1"/>
  <c r="M51" i="10" s="1"/>
  <c r="M38" i="10"/>
  <c r="M39" i="10" s="1"/>
  <c r="M39" i="4"/>
  <c r="N38" i="10" l="1"/>
  <c r="N39" i="10" s="1"/>
  <c r="N54" i="4"/>
  <c r="N51" i="10" s="1"/>
  <c r="O38" i="10"/>
  <c r="N39" i="4"/>
  <c r="O39" i="10" l="1"/>
  <c r="O54" i="4"/>
  <c r="O51" i="10" s="1"/>
  <c r="O39" i="4"/>
  <c r="O84" i="4"/>
  <c r="J36" i="4"/>
  <c r="K36" i="4" s="1"/>
  <c r="L36" i="4" s="1"/>
  <c r="M36" i="4" s="1"/>
  <c r="N36" i="4" s="1"/>
  <c r="O36" i="4" s="1"/>
  <c r="J20" i="4"/>
  <c r="K20" i="4" s="1"/>
  <c r="L20" i="4" s="1"/>
  <c r="M20" i="4" s="1"/>
  <c r="N20" i="4" s="1"/>
  <c r="O20" i="4" s="1"/>
  <c r="J26" i="4"/>
  <c r="K26" i="4" s="1"/>
  <c r="L26" i="4" s="1"/>
  <c r="M26" i="4" s="1"/>
  <c r="N26" i="4" s="1"/>
  <c r="O26" i="4" s="1"/>
  <c r="J25" i="4"/>
  <c r="K25" i="4" s="1"/>
  <c r="L25" i="4" s="1"/>
  <c r="M25" i="4" s="1"/>
  <c r="N25" i="4" s="1"/>
  <c r="O25" i="4" s="1"/>
  <c r="J16" i="4"/>
  <c r="K16" i="4" s="1"/>
  <c r="L16" i="4" s="1"/>
  <c r="M16" i="4" s="1"/>
  <c r="N16" i="4" s="1"/>
  <c r="O16" i="4" s="1"/>
  <c r="J15" i="4"/>
  <c r="K15" i="4" s="1"/>
  <c r="L15" i="4" s="1"/>
  <c r="M15" i="4" s="1"/>
  <c r="N15" i="4" s="1"/>
  <c r="O15" i="4" s="1"/>
  <c r="I89" i="4"/>
  <c r="G89" i="4"/>
  <c r="I84" i="4"/>
  <c r="H84" i="4"/>
  <c r="D4" i="4"/>
  <c r="I48" i="4"/>
  <c r="H48" i="4"/>
  <c r="G48" i="4"/>
  <c r="F48" i="4"/>
  <c r="I37" i="4"/>
  <c r="I40" i="4" s="1"/>
  <c r="J29" i="4"/>
  <c r="K29" i="4" s="1"/>
  <c r="L29" i="4" s="1"/>
  <c r="M29" i="4" s="1"/>
  <c r="N29" i="4" s="1"/>
  <c r="O29" i="4" s="1"/>
  <c r="J24" i="4"/>
  <c r="K24" i="4" s="1"/>
  <c r="L24" i="4" s="1"/>
  <c r="M24" i="4" s="1"/>
  <c r="J17" i="4"/>
  <c r="K17" i="4" s="1"/>
  <c r="L17" i="4" s="1"/>
  <c r="M17" i="4" s="1"/>
  <c r="N17" i="4" s="1"/>
  <c r="O17" i="4" s="1"/>
  <c r="G37" i="4"/>
  <c r="G40" i="4" s="1"/>
  <c r="F37" i="4"/>
  <c r="F40" i="4" s="1"/>
  <c r="E37" i="4"/>
  <c r="E40" i="4" s="1"/>
  <c r="G25" i="10" l="1"/>
  <c r="G43" i="10"/>
  <c r="G44" i="10" s="1"/>
  <c r="F51" i="4"/>
  <c r="F28" i="10" s="1"/>
  <c r="F47" i="10"/>
  <c r="F48" i="10" s="1"/>
  <c r="E25" i="10"/>
  <c r="E43" i="10"/>
  <c r="E44" i="10" s="1"/>
  <c r="G51" i="4"/>
  <c r="G28" i="10" s="1"/>
  <c r="G47" i="10"/>
  <c r="G48" i="10" s="1"/>
  <c r="F25" i="10"/>
  <c r="F43" i="10"/>
  <c r="F44" i="10" s="1"/>
  <c r="H51" i="4"/>
  <c r="H28" i="10" s="1"/>
  <c r="H47" i="10"/>
  <c r="H48" i="10" s="1"/>
  <c r="I51" i="4"/>
  <c r="I28" i="10" s="1"/>
  <c r="I47" i="10"/>
  <c r="I48" i="10" s="1"/>
  <c r="I43" i="10"/>
  <c r="I25" i="10"/>
  <c r="H53" i="4"/>
  <c r="J34" i="4"/>
  <c r="K34" i="4" s="1"/>
  <c r="L34" i="4" s="1"/>
  <c r="M34" i="4" s="1"/>
  <c r="N34" i="4" s="1"/>
  <c r="J84" i="4"/>
  <c r="N84" i="4"/>
  <c r="M84" i="4"/>
  <c r="L84" i="4"/>
  <c r="K84" i="4"/>
  <c r="N24" i="4"/>
  <c r="E89" i="4"/>
  <c r="H89" i="4"/>
  <c r="F89" i="4"/>
  <c r="E84" i="4"/>
  <c r="H37" i="4"/>
  <c r="H40" i="4" s="1"/>
  <c r="I21" i="4"/>
  <c r="H21" i="4"/>
  <c r="H30" i="4"/>
  <c r="F30" i="4"/>
  <c r="I30" i="4"/>
  <c r="G30" i="4"/>
  <c r="F21" i="4"/>
  <c r="G21" i="4"/>
  <c r="E30" i="4"/>
  <c r="E21" i="4"/>
  <c r="D21" i="1"/>
  <c r="F53" i="4" l="1"/>
  <c r="F56" i="4" s="1"/>
  <c r="F31" i="10" s="1"/>
  <c r="H43" i="10"/>
  <c r="H44" i="10" s="1"/>
  <c r="H25" i="10"/>
  <c r="G53" i="4"/>
  <c r="I53" i="4"/>
  <c r="I56" i="4" s="1"/>
  <c r="I44" i="10"/>
  <c r="G56" i="4"/>
  <c r="H56" i="4"/>
  <c r="F71" i="4"/>
  <c r="E77" i="4"/>
  <c r="D22" i="1"/>
  <c r="D23" i="1" s="1"/>
  <c r="O34" i="4"/>
  <c r="O24" i="4"/>
  <c r="I32" i="4"/>
  <c r="I42" i="4" s="1"/>
  <c r="H32" i="4"/>
  <c r="H42" i="4" s="1"/>
  <c r="E32" i="4"/>
  <c r="E42" i="4" s="1"/>
  <c r="G32" i="4"/>
  <c r="G42" i="4" s="1"/>
  <c r="F32" i="4"/>
  <c r="F42" i="4" s="1"/>
  <c r="G58" i="4" l="1"/>
  <c r="G31" i="10"/>
  <c r="H71" i="4"/>
  <c r="H31" i="10"/>
  <c r="I71" i="4"/>
  <c r="I77" i="4" s="1"/>
  <c r="I92" i="4" s="1"/>
  <c r="I31" i="10"/>
  <c r="G71" i="4"/>
  <c r="G77" i="4" s="1"/>
  <c r="G92" i="4" s="1"/>
  <c r="F77" i="4"/>
  <c r="F92" i="4" s="1"/>
  <c r="E58" i="4"/>
  <c r="E54" i="10" s="1"/>
  <c r="F58" i="4"/>
  <c r="I58" i="4"/>
  <c r="H58" i="4"/>
  <c r="E92" i="4"/>
  <c r="E95" i="4" s="1"/>
  <c r="H77" i="4"/>
  <c r="H92" i="4" s="1"/>
  <c r="D4" i="12" l="1"/>
  <c r="H60" i="4"/>
  <c r="H32" i="10" s="1"/>
  <c r="H54" i="10"/>
  <c r="G4" i="12" s="1"/>
  <c r="F60" i="4"/>
  <c r="F54" i="10"/>
  <c r="E4" i="12" s="1"/>
  <c r="E5" i="12" s="1"/>
  <c r="E6" i="12" s="1"/>
  <c r="D5" i="12"/>
  <c r="D6" i="12" s="1"/>
  <c r="G60" i="4"/>
  <c r="G32" i="10" s="1"/>
  <c r="G54" i="10"/>
  <c r="F4" i="12" s="1"/>
  <c r="F5" i="12" s="1"/>
  <c r="F6" i="12" s="1"/>
  <c r="I54" i="10"/>
  <c r="I60" i="4"/>
  <c r="E63" i="10"/>
  <c r="E60" i="4"/>
  <c r="E67" i="4"/>
  <c r="H67" i="4"/>
  <c r="F67" i="4"/>
  <c r="F91" i="4"/>
  <c r="F95" i="4" s="1"/>
  <c r="H13" i="10" l="1"/>
  <c r="G67" i="4"/>
  <c r="E33" i="10"/>
  <c r="E32" i="10"/>
  <c r="F33" i="10"/>
  <c r="F32" i="10"/>
  <c r="G5" i="12"/>
  <c r="G6" i="12" s="1"/>
  <c r="H4" i="12"/>
  <c r="H5" i="12" s="1"/>
  <c r="H6" i="12" s="1"/>
  <c r="I34" i="10"/>
  <c r="I32" i="10"/>
  <c r="F63" i="10"/>
  <c r="F66" i="10"/>
  <c r="J87" i="4"/>
  <c r="I67" i="4"/>
  <c r="G91" i="4"/>
  <c r="G95" i="4" s="1"/>
  <c r="E34" i="10" l="1"/>
  <c r="F59" i="10"/>
  <c r="F60" i="10" s="1"/>
  <c r="G34" i="10"/>
  <c r="H59" i="10"/>
  <c r="H60" i="10" s="1"/>
  <c r="I59" i="10"/>
  <c r="I60" i="10" s="1"/>
  <c r="E59" i="10"/>
  <c r="E60" i="10" s="1"/>
  <c r="G59" i="10"/>
  <c r="G60" i="10" s="1"/>
  <c r="F34" i="10"/>
  <c r="H34" i="10"/>
  <c r="G45" i="10"/>
  <c r="F45" i="10"/>
  <c r="H45" i="10"/>
  <c r="E45" i="10"/>
  <c r="I45" i="10"/>
  <c r="H10" i="10" s="1"/>
  <c r="G63" i="10"/>
  <c r="G66" i="10"/>
  <c r="K87" i="4"/>
  <c r="H91" i="4"/>
  <c r="H95" i="4" s="1"/>
  <c r="H63" i="10" l="1"/>
  <c r="H66" i="10"/>
  <c r="L87" i="4"/>
  <c r="I91" i="4"/>
  <c r="K65" i="10" l="1"/>
  <c r="K66" i="10"/>
  <c r="M87" i="4"/>
  <c r="J91" i="4"/>
  <c r="O87" i="4" l="1"/>
  <c r="N87" i="4"/>
  <c r="H26" i="10" l="1"/>
  <c r="H33" i="10"/>
  <c r="G26" i="10"/>
  <c r="G33" i="10"/>
  <c r="F6" i="4"/>
  <c r="I26" i="10"/>
  <c r="J26" i="10" s="1"/>
  <c r="I33" i="10"/>
  <c r="F17" i="10" l="1"/>
  <c r="G6" i="4"/>
  <c r="J46" i="4"/>
  <c r="K26" i="10"/>
  <c r="H6" i="4" l="1"/>
  <c r="G17" i="10"/>
  <c r="K46" i="4"/>
  <c r="L26" i="10"/>
  <c r="H17" i="10" l="1"/>
  <c r="I6" i="4"/>
  <c r="M26" i="10"/>
  <c r="L46" i="4"/>
  <c r="I17" i="10" l="1"/>
  <c r="J6" i="4"/>
  <c r="M46" i="4"/>
  <c r="N26" i="10"/>
  <c r="J17" i="10" l="1"/>
  <c r="K6" i="4"/>
  <c r="O26" i="10"/>
  <c r="O46" i="4" s="1"/>
  <c r="N46" i="4"/>
  <c r="J30" i="4"/>
  <c r="J47" i="4"/>
  <c r="J48" i="4" s="1"/>
  <c r="J50" i="4"/>
  <c r="J49" i="10" s="1"/>
  <c r="J72" i="4"/>
  <c r="J24" i="10"/>
  <c r="J40" i="10"/>
  <c r="J41" i="10" s="1"/>
  <c r="K17" i="10" l="1"/>
  <c r="L6" i="4"/>
  <c r="J51" i="4"/>
  <c r="J52" i="4" s="1"/>
  <c r="J53" i="4" s="1"/>
  <c r="J56" i="4" s="1"/>
  <c r="J50" i="10"/>
  <c r="J52" i="10"/>
  <c r="J42" i="10"/>
  <c r="J47" i="10"/>
  <c r="J48" i="10" s="1"/>
  <c r="L17" i="10" l="1"/>
  <c r="M6" i="4"/>
  <c r="J71" i="4"/>
  <c r="J57" i="4"/>
  <c r="J75" i="4" s="1"/>
  <c r="N6" i="4" l="1"/>
  <c r="M17" i="10"/>
  <c r="J58" i="4"/>
  <c r="J77" i="4"/>
  <c r="O6" i="4" l="1"/>
  <c r="O17" i="10" s="1"/>
  <c r="N17" i="10"/>
  <c r="J66" i="4"/>
  <c r="E67" i="10"/>
  <c r="J60" i="4"/>
  <c r="J54" i="10"/>
  <c r="J34" i="10" l="1"/>
  <c r="J86" i="4"/>
  <c r="J89" i="4" s="1"/>
  <c r="J92" i="4" s="1"/>
  <c r="J12" i="4" s="1"/>
  <c r="J97" i="4" s="1"/>
  <c r="J67" i="4"/>
  <c r="J63" i="4"/>
  <c r="J64" i="4"/>
  <c r="J56" i="10" s="1"/>
  <c r="H8" i="10" s="1"/>
  <c r="J57" i="10" l="1"/>
  <c r="J35" i="4"/>
  <c r="J59" i="10"/>
  <c r="J60" i="10" s="1"/>
  <c r="J95" i="4"/>
  <c r="J21" i="4"/>
  <c r="J32" i="4" s="1"/>
  <c r="J37" i="4" l="1"/>
  <c r="K91" i="4"/>
  <c r="J98" i="4"/>
  <c r="J40" i="4" l="1"/>
  <c r="J33" i="10"/>
  <c r="K30" i="4"/>
  <c r="L30" i="4"/>
  <c r="M30" i="4"/>
  <c r="N30" i="4"/>
  <c r="O30" i="4"/>
  <c r="K47" i="4"/>
  <c r="K48" i="4" s="1"/>
  <c r="L47" i="4"/>
  <c r="L48" i="4" s="1"/>
  <c r="M47" i="4"/>
  <c r="M48" i="4" s="1"/>
  <c r="N47" i="4"/>
  <c r="N48" i="4" s="1"/>
  <c r="O47" i="4"/>
  <c r="O48" i="4" s="1"/>
  <c r="K50" i="4"/>
  <c r="K49" i="10" s="1"/>
  <c r="L50" i="4"/>
  <c r="L49" i="10" s="1"/>
  <c r="M50" i="4"/>
  <c r="M49" i="10" s="1"/>
  <c r="N50" i="4"/>
  <c r="N49" i="10" s="1"/>
  <c r="O50" i="4"/>
  <c r="O49" i="10" s="1"/>
  <c r="K72" i="4"/>
  <c r="L72" i="4"/>
  <c r="M72" i="4"/>
  <c r="N72" i="4"/>
  <c r="O72" i="4"/>
  <c r="K24" i="10"/>
  <c r="L24" i="10"/>
  <c r="M24" i="10"/>
  <c r="N24" i="10"/>
  <c r="O24" i="10"/>
  <c r="K40" i="10"/>
  <c r="K42" i="10" s="1"/>
  <c r="L40" i="10"/>
  <c r="M40" i="10"/>
  <c r="M42" i="10" s="1"/>
  <c r="N40" i="10"/>
  <c r="O40" i="10"/>
  <c r="O42" i="10" s="1"/>
  <c r="J43" i="10" l="1"/>
  <c r="J25" i="10"/>
  <c r="J42" i="4"/>
  <c r="K50" i="10"/>
  <c r="K41" i="10"/>
  <c r="M50" i="10"/>
  <c r="L41" i="10"/>
  <c r="K52" i="10"/>
  <c r="O41" i="10"/>
  <c r="O52" i="10"/>
  <c r="O50" i="10"/>
  <c r="L50" i="10"/>
  <c r="L42" i="10"/>
  <c r="N50" i="10"/>
  <c r="K51" i="4"/>
  <c r="K52" i="4" s="1"/>
  <c r="K53" i="4" s="1"/>
  <c r="K56" i="4" s="1"/>
  <c r="O47" i="10"/>
  <c r="O48" i="10" s="1"/>
  <c r="O51" i="4"/>
  <c r="N47" i="10"/>
  <c r="N48" i="10" s="1"/>
  <c r="N51" i="4"/>
  <c r="M47" i="10"/>
  <c r="M48" i="10" s="1"/>
  <c r="M51" i="4"/>
  <c r="L51" i="4"/>
  <c r="L47" i="10"/>
  <c r="L48" i="10" s="1"/>
  <c r="N52" i="10"/>
  <c r="N41" i="10"/>
  <c r="M41" i="10"/>
  <c r="L52" i="10"/>
  <c r="K47" i="10"/>
  <c r="K48" i="10" s="1"/>
  <c r="N42" i="10"/>
  <c r="M52" i="10"/>
  <c r="J45" i="10" l="1"/>
  <c r="H11" i="10" s="1"/>
  <c r="J44" i="10"/>
  <c r="K71" i="4"/>
  <c r="K57" i="4"/>
  <c r="K75" i="4" s="1"/>
  <c r="O52" i="4"/>
  <c r="O53" i="4" s="1"/>
  <c r="O56" i="4" s="1"/>
  <c r="M52" i="4"/>
  <c r="M53" i="4" s="1"/>
  <c r="M56" i="4" s="1"/>
  <c r="N52" i="4"/>
  <c r="N53" i="4" s="1"/>
  <c r="N56" i="4" s="1"/>
  <c r="L52" i="4"/>
  <c r="L53" i="4" s="1"/>
  <c r="L56" i="4" s="1"/>
  <c r="O57" i="4" l="1"/>
  <c r="O75" i="4" s="1"/>
  <c r="O71" i="4"/>
  <c r="M57" i="4"/>
  <c r="M75" i="4" s="1"/>
  <c r="M71" i="4"/>
  <c r="K58" i="4"/>
  <c r="F67" i="10" s="1"/>
  <c r="N57" i="4"/>
  <c r="N75" i="4" s="1"/>
  <c r="N71" i="4"/>
  <c r="L71" i="4"/>
  <c r="L57" i="4"/>
  <c r="L75" i="4" s="1"/>
  <c r="K77" i="4"/>
  <c r="M58" i="4" l="1"/>
  <c r="M77" i="4"/>
  <c r="O58" i="4"/>
  <c r="O77" i="4"/>
  <c r="K66" i="4"/>
  <c r="K54" i="10"/>
  <c r="K60" i="4"/>
  <c r="L58" i="4"/>
  <c r="G67" i="10" s="1"/>
  <c r="L77" i="4"/>
  <c r="N77" i="4"/>
  <c r="N58" i="4"/>
  <c r="I67" i="10" s="1"/>
  <c r="O66" i="4" l="1"/>
  <c r="J67" i="10"/>
  <c r="K67" i="10" s="1"/>
  <c r="K34" i="10"/>
  <c r="M60" i="4"/>
  <c r="M34" i="10" s="1"/>
  <c r="H67" i="10"/>
  <c r="M66" i="4"/>
  <c r="M54" i="10"/>
  <c r="O54" i="10"/>
  <c r="O60" i="4"/>
  <c r="K64" i="4"/>
  <c r="K56" i="10" s="1"/>
  <c r="H9" i="10" s="1"/>
  <c r="K63" i="4"/>
  <c r="K86" i="4"/>
  <c r="K59" i="10" s="1"/>
  <c r="N66" i="4"/>
  <c r="N54" i="10"/>
  <c r="N60" i="4"/>
  <c r="N34" i="10" s="1"/>
  <c r="L60" i="4"/>
  <c r="L34" i="10" s="1"/>
  <c r="L54" i="10"/>
  <c r="L66" i="4"/>
  <c r="K67" i="4"/>
  <c r="M67" i="4" l="1"/>
  <c r="M64" i="4"/>
  <c r="M56" i="10" s="1"/>
  <c r="M57" i="10" s="1"/>
  <c r="K35" i="4"/>
  <c r="K37" i="4" s="1"/>
  <c r="M86" i="4"/>
  <c r="M59" i="10" s="1"/>
  <c r="M63" i="4"/>
  <c r="K60" i="10"/>
  <c r="K57" i="10"/>
  <c r="O63" i="4"/>
  <c r="O34" i="10"/>
  <c r="E69" i="10"/>
  <c r="E71" i="10" s="1"/>
  <c r="O67" i="4"/>
  <c r="O64" i="4"/>
  <c r="O56" i="10" s="1"/>
  <c r="O57" i="10" s="1"/>
  <c r="O86" i="4"/>
  <c r="J69" i="10" s="1"/>
  <c r="J71" i="10" s="1"/>
  <c r="N63" i="4"/>
  <c r="N64" i="4"/>
  <c r="N56" i="10" s="1"/>
  <c r="N86" i="4"/>
  <c r="K89" i="4"/>
  <c r="K92" i="4" s="1"/>
  <c r="K95" i="4" s="1"/>
  <c r="L63" i="4"/>
  <c r="L64" i="4"/>
  <c r="L56" i="10" s="1"/>
  <c r="L86" i="4"/>
  <c r="L59" i="10" s="1"/>
  <c r="N67" i="4"/>
  <c r="L67" i="4"/>
  <c r="E7" i="6" s="1"/>
  <c r="N59" i="10" l="1"/>
  <c r="I69" i="10"/>
  <c r="I71" i="10" s="1"/>
  <c r="M89" i="4"/>
  <c r="M92" i="4" s="1"/>
  <c r="M60" i="10"/>
  <c r="K70" i="10"/>
  <c r="K71" i="10" s="1"/>
  <c r="G69" i="10"/>
  <c r="G71" i="10" s="1"/>
  <c r="N57" i="10"/>
  <c r="N60" i="10"/>
  <c r="L57" i="10"/>
  <c r="L60" i="10"/>
  <c r="O89" i="4"/>
  <c r="O92" i="4" s="1"/>
  <c r="O59" i="10"/>
  <c r="O60" i="10" s="1"/>
  <c r="H69" i="10"/>
  <c r="H71" i="10" s="1"/>
  <c r="N89" i="4"/>
  <c r="N92" i="4" s="1"/>
  <c r="K12" i="4"/>
  <c r="L91" i="4"/>
  <c r="K40" i="4"/>
  <c r="K33" i="10"/>
  <c r="L89" i="4"/>
  <c r="L92" i="4" s="1"/>
  <c r="F69" i="10"/>
  <c r="F71" i="10" s="1"/>
  <c r="L35" i="4"/>
  <c r="D75" i="10" l="1"/>
  <c r="D77" i="10" s="1"/>
  <c r="D79" i="10" s="1"/>
  <c r="K43" i="10"/>
  <c r="K45" i="10" s="1"/>
  <c r="H12" i="10" s="1"/>
  <c r="K25" i="10"/>
  <c r="L95" i="4"/>
  <c r="K21" i="4"/>
  <c r="K32" i="4" s="1"/>
  <c r="K42" i="4" s="1"/>
  <c r="K97" i="4"/>
  <c r="K98" i="4" s="1"/>
  <c r="M35" i="4"/>
  <c r="L37" i="4"/>
  <c r="H77" i="10" l="1"/>
  <c r="D13" i="10"/>
  <c r="D14" i="10" s="1"/>
  <c r="H76" i="10"/>
  <c r="H78" i="10"/>
  <c r="M91" i="4"/>
  <c r="M95" i="4" s="1"/>
  <c r="L12" i="4"/>
  <c r="K44" i="10"/>
  <c r="L40" i="4"/>
  <c r="L33" i="10"/>
  <c r="M37" i="4"/>
  <c r="N35" i="4"/>
  <c r="L43" i="10" l="1"/>
  <c r="L45" i="10" s="1"/>
  <c r="L25" i="10"/>
  <c r="L21" i="4"/>
  <c r="L32" i="4" s="1"/>
  <c r="L42" i="4" s="1"/>
  <c r="E6" i="6" s="1"/>
  <c r="L97" i="4"/>
  <c r="L98" i="4" s="1"/>
  <c r="E8" i="6" s="1"/>
  <c r="O35" i="4"/>
  <c r="O37" i="4" s="1"/>
  <c r="N37" i="4"/>
  <c r="N91" i="4"/>
  <c r="N95" i="4" s="1"/>
  <c r="M12" i="4"/>
  <c r="M40" i="4"/>
  <c r="M33" i="10"/>
  <c r="E10" i="6" l="1"/>
  <c r="B3" i="11" s="1"/>
  <c r="M21" i="4"/>
  <c r="M32" i="4" s="1"/>
  <c r="M42" i="4" s="1"/>
  <c r="M97" i="4"/>
  <c r="M98" i="4" s="1"/>
  <c r="N12" i="4"/>
  <c r="O91" i="4"/>
  <c r="O95" i="4" s="1"/>
  <c r="O12" i="4" s="1"/>
  <c r="N40" i="4"/>
  <c r="N33" i="10"/>
  <c r="O40" i="4"/>
  <c r="O33" i="10"/>
  <c r="M25" i="10"/>
  <c r="M43" i="10"/>
  <c r="L44" i="10"/>
  <c r="B3" i="1" l="1"/>
  <c r="B3" i="6"/>
  <c r="B3" i="4"/>
  <c r="M44" i="10"/>
  <c r="M45" i="10"/>
  <c r="O25" i="10"/>
  <c r="O43" i="10"/>
  <c r="N25" i="10"/>
  <c r="N43" i="10"/>
  <c r="O97" i="4"/>
  <c r="O98" i="4" s="1"/>
  <c r="O21" i="4"/>
  <c r="O32" i="4" s="1"/>
  <c r="O42" i="4" s="1"/>
  <c r="N97" i="4"/>
  <c r="N98" i="4" s="1"/>
  <c r="N21" i="4"/>
  <c r="N32" i="4" s="1"/>
  <c r="N42" i="4" s="1"/>
  <c r="N44" i="10" l="1"/>
  <c r="N45" i="10"/>
  <c r="O44" i="10"/>
  <c r="O4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8" authorId="0" shapeId="0" xr:uid="{D7C40E79-11B4-49F7-A052-E12DC971618C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9" authorId="0" shapeId="0" xr:uid="{9B36A05F-F5A9-49DD-ABF0-4B4A23096DAB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1" authorId="0" shapeId="0" xr:uid="{B2C8E07F-026D-41E2-8E35-614751409E7F}">
      <text>
        <r>
          <rPr>
            <sz val="9"/>
            <color indexed="81"/>
            <rFont val="Tahoma"/>
            <family val="2"/>
          </rPr>
          <t>https://www.infrontanalytics.com/fe-EN/30621EX/Barclays-PLC/Beta</t>
        </r>
      </text>
    </comment>
    <comment ref="E12" authorId="0" shapeId="0" xr:uid="{EB49DF61-2311-43B8-B450-33350C1BD832}">
      <text>
        <r>
          <rPr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<sst xmlns="http://schemas.openxmlformats.org/spreadsheetml/2006/main" count="210" uniqueCount="186">
  <si>
    <t>x</t>
  </si>
  <si>
    <t>Company name</t>
  </si>
  <si>
    <t>Ticker</t>
  </si>
  <si>
    <t>MODEL STRUCTURE</t>
  </si>
  <si>
    <t>Currency</t>
  </si>
  <si>
    <t>£m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</si>
  <si>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</si>
  <si>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</si>
  <si>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</si>
  <si>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</si>
  <si>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</si>
  <si>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</si>
  <si>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</si>
  <si>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</si>
  <si>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</si>
  <si>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</si>
  <si>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</si>
  <si>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Cash</t>
  </si>
  <si>
    <t>Date</t>
  </si>
  <si>
    <t>Current tax assets</t>
  </si>
  <si>
    <t>Deferred tax assets</t>
  </si>
  <si>
    <t>Property, plant &amp; equipment</t>
  </si>
  <si>
    <t>Total assets</t>
  </si>
  <si>
    <t>Intangible assets</t>
  </si>
  <si>
    <t>Total liabilities</t>
  </si>
  <si>
    <t>Current tax liabilities</t>
  </si>
  <si>
    <t>Deferred tax liabilities</t>
  </si>
  <si>
    <t>Net assets</t>
  </si>
  <si>
    <t>Share capital &amp; share premium</t>
  </si>
  <si>
    <t>Retained earnings</t>
  </si>
  <si>
    <t>Reserves</t>
  </si>
  <si>
    <t>Equity attributable to shareholders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</si>
  <si>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</si>
  <si>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</si>
  <si>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</si>
  <si>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</si>
  <si>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</si>
  <si>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</si>
  <si>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</si>
  <si>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P&amp;L</t>
  </si>
  <si>
    <t>BALANCE SHEET</t>
  </si>
  <si>
    <t>Profit before tax</t>
  </si>
  <si>
    <t>Tax</t>
  </si>
  <si>
    <t>Profit for the period</t>
  </si>
  <si>
    <t>Expected value</t>
  </si>
  <si>
    <t>Months in period</t>
  </si>
  <si>
    <t>Profit attributable to shareholders</t>
  </si>
  <si>
    <t>Interest expense</t>
  </si>
  <si>
    <t>Basic EPS (pence)</t>
  </si>
  <si>
    <t>Diluted EPS (pence)</t>
  </si>
  <si>
    <t>CASHFLOW</t>
  </si>
  <si>
    <t>Cash generated from operations</t>
  </si>
  <si>
    <t>Cash used in investing activities</t>
  </si>
  <si>
    <t>Cash used in financing activities</t>
  </si>
  <si>
    <t>Opening cash balance</t>
  </si>
  <si>
    <t>Closing cash balance</t>
  </si>
  <si>
    <t>FX impact on cash</t>
  </si>
  <si>
    <t>Net increase/decrease in cash</t>
  </si>
  <si>
    <t>Other</t>
  </si>
  <si>
    <t>Operating profit</t>
  </si>
  <si>
    <t>Tax paid</t>
  </si>
  <si>
    <t>Sale of PPE &amp; Intangibles</t>
  </si>
  <si>
    <t>Interest paid</t>
  </si>
  <si>
    <t>Dividends to shareholders</t>
  </si>
  <si>
    <t>METRICS</t>
  </si>
  <si>
    <t>Effective tax rate %</t>
  </si>
  <si>
    <t>Dividend payout ratio %</t>
  </si>
  <si>
    <t>WACC</t>
  </si>
  <si>
    <t>Levered Beta</t>
  </si>
  <si>
    <t>Rf</t>
  </si>
  <si>
    <t>ERP</t>
  </si>
  <si>
    <t>Small Cap Premum</t>
  </si>
  <si>
    <t>Ke</t>
  </si>
  <si>
    <t>Selected Ke</t>
  </si>
  <si>
    <t>Risk free rate</t>
  </si>
  <si>
    <t>Equity risk premium</t>
  </si>
  <si>
    <t>Discount Rate</t>
  </si>
  <si>
    <t>Perpetural Growth Rate</t>
  </si>
  <si>
    <t>Valuation Date</t>
  </si>
  <si>
    <t>Entry</t>
  </si>
  <si>
    <t>Terminal</t>
  </si>
  <si>
    <t>Year Fraction</t>
  </si>
  <si>
    <t>Market Value vs Intrinsic Value</t>
  </si>
  <si>
    <t>Market Value</t>
  </si>
  <si>
    <t>Intrinsic Value</t>
  </si>
  <si>
    <t>Equity Value</t>
  </si>
  <si>
    <t>Inputs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</si>
  <si>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</si>
  <si>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</si>
  <si>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</si>
  <si>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</si>
  <si>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</si>
  <si>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</si>
  <si>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</si>
  <si>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</si>
  <si>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</si>
  <si>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Purchase of PPE &amp; intangibles</t>
  </si>
  <si>
    <t>Coupon paid on perpetual bond</t>
  </si>
  <si>
    <t>Value to NCI</t>
  </si>
  <si>
    <t>Shareholder value</t>
  </si>
  <si>
    <t>Interest income</t>
  </si>
  <si>
    <t>Net interest income</t>
  </si>
  <si>
    <t>Gains/losses on financial instruments</t>
  </si>
  <si>
    <t>Other operating income</t>
  </si>
  <si>
    <t>Total operating income</t>
  </si>
  <si>
    <t>Operating expenses</t>
  </si>
  <si>
    <t>Operating income before impairment losses</t>
  </si>
  <si>
    <t>Impairment charge</t>
  </si>
  <si>
    <t>Last results available</t>
  </si>
  <si>
    <t>Profit attributable to pref shares</t>
  </si>
  <si>
    <t>Loans to customers</t>
  </si>
  <si>
    <t>Loans to banks</t>
  </si>
  <si>
    <t>Other financial assets</t>
  </si>
  <si>
    <t>Other assets</t>
  </si>
  <si>
    <t>Customer deposits</t>
  </si>
  <si>
    <t>Bank deposits</t>
  </si>
  <si>
    <t>Debt securities in issue</t>
  </si>
  <si>
    <t>Other liabilities</t>
  </si>
  <si>
    <t>Other financial liabilities</t>
  </si>
  <si>
    <t>Changes in assets &amp; liabilities</t>
  </si>
  <si>
    <t>Interest received</t>
  </si>
  <si>
    <t>Sale of financial assets</t>
  </si>
  <si>
    <t>Purchase of financial assets</t>
  </si>
  <si>
    <t>Loans to customers growth</t>
  </si>
  <si>
    <t>Interest income (as % loans to customers)</t>
  </si>
  <si>
    <t>Cost to income ratio</t>
  </si>
  <si>
    <t>Interest expense (as % cust deposits)</t>
  </si>
  <si>
    <t>Other income (as % loans + deposits)</t>
  </si>
  <si>
    <t>Loans to deposits ratio</t>
  </si>
  <si>
    <t>BS ROE %</t>
  </si>
  <si>
    <t>Mcap ROE %</t>
  </si>
  <si>
    <t>Impairment charge (as % loans)</t>
  </si>
  <si>
    <t>Dividends</t>
  </si>
  <si>
    <t>Secure Trust Bank Plc</t>
  </si>
  <si>
    <t>LSE:STB</t>
  </si>
  <si>
    <t>Profit from discontinued operations</t>
  </si>
  <si>
    <t>QUANT VALUE INVESTING</t>
  </si>
  <si>
    <t>SUMMARY</t>
  </si>
  <si>
    <t>P/E (Current)</t>
  </si>
  <si>
    <t>P/E (Y+1)</t>
  </si>
  <si>
    <t>Margin of safety</t>
  </si>
  <si>
    <t>P/E (Y+2)</t>
  </si>
  <si>
    <t>SUMMARY FINANCIALS</t>
  </si>
  <si>
    <t>Diluted EPS</t>
  </si>
  <si>
    <t>Price to earnings ratio</t>
  </si>
  <si>
    <t>Loans</t>
  </si>
  <si>
    <t>Deposits</t>
  </si>
  <si>
    <t>Book value</t>
  </si>
  <si>
    <t>Loans to deposits ratio %</t>
  </si>
  <si>
    <t>Other income</t>
  </si>
  <si>
    <t>Credit impairment charge</t>
  </si>
  <si>
    <t>As % of loans</t>
  </si>
  <si>
    <t>As % of loans + deposits</t>
  </si>
  <si>
    <t>YoY growth %</t>
  </si>
  <si>
    <t>Profit after tax</t>
  </si>
  <si>
    <t>Dividend per share</t>
  </si>
  <si>
    <t>Equity Value/Share (p)</t>
  </si>
  <si>
    <t>Loans to equity ratio (leverage)</t>
  </si>
  <si>
    <t>Deposits growth</t>
  </si>
  <si>
    <t>Current share price (p)</t>
  </si>
  <si>
    <t>Dividend valuation per share (p)</t>
  </si>
  <si>
    <t>COST OF EQUITY</t>
  </si>
  <si>
    <t>Tax rate</t>
  </si>
  <si>
    <t xml:space="preserve">Levered beta </t>
  </si>
  <si>
    <t>P/B (Current)</t>
  </si>
  <si>
    <t>P/B (Y+1)</t>
  </si>
  <si>
    <t>P/B (Y+2)</t>
  </si>
  <si>
    <t>Dividend cover</t>
  </si>
  <si>
    <t>5Yr Avg. ROE</t>
  </si>
  <si>
    <t>Key metrics</t>
  </si>
  <si>
    <t>Book value per share (p)</t>
  </si>
  <si>
    <t>Diluted shares</t>
  </si>
  <si>
    <t>FY16</t>
  </si>
  <si>
    <t>FY17</t>
  </si>
  <si>
    <t>FY19</t>
  </si>
  <si>
    <t>FY20</t>
  </si>
  <si>
    <t>FY21</t>
  </si>
  <si>
    <t>FY18</t>
  </si>
  <si>
    <t>HY22</t>
  </si>
  <si>
    <t>Credit impairment</t>
  </si>
  <si>
    <t>Diluted EPS (continuing) before credit impairment</t>
  </si>
  <si>
    <t>Diluted EPS (continuing)</t>
  </si>
  <si>
    <t>Credit impairment as % net interest income</t>
  </si>
  <si>
    <t>Discounted Cash Flow (£m)</t>
  </si>
  <si>
    <t>Earnings</t>
  </si>
  <si>
    <t>Payout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</si>
</sst>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_-* #,##0.0_-;\-* #,##0.0_-;_-* &quot;-&quot;??_-;_-@_-"/>
    <numFmt numFmtId="169" formatCode="0.00&quot;x&quot;"/>
    <numFmt numFmtId="170" formatCode="0.0&quot;x&quot;"/>
    <numFmt numFmtId="171" formatCode="0&quot;p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i/>
      <sz val="26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7" borderId="0"/>
  </cellStyleXfs>
  <cellXfs count="88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65" fontId="0" fillId="3" borderId="5" xfId="2" applyNumberFormat="1" applyFont="1" applyFill="1" applyBorder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4" fontId="9" fillId="5" borderId="0" xfId="2" applyNumberFormat="1" applyFont="1" applyFill="1"/>
    <xf numFmtId="166" fontId="0" fillId="3" borderId="0" xfId="2" applyNumberFormat="1" applyFont="1" applyFill="1"/>
    <xf numFmtId="9" fontId="0" fillId="3" borderId="0" xfId="3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165" fontId="0" fillId="6" borderId="5" xfId="2" applyNumberFormat="1" applyFont="1" applyFill="1" applyBorder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6" fontId="0" fillId="2" borderId="3" xfId="1" quotePrefix="1" applyNumberFormat="1" applyFont="1" applyBorder="1" applyAlignment="1">
      <alignment horizontal="right"/>
    </xf>
    <xf numFmtId="168" fontId="0" fillId="3" borderId="0" xfId="2" applyNumberFormat="1" applyFont="1" applyFill="1"/>
    <xf numFmtId="0" fontId="10" fillId="3" borderId="0" xfId="0" applyFont="1" applyFill="1"/>
    <xf numFmtId="10" fontId="0" fillId="2" borderId="1" xfId="3" applyNumberFormat="1" applyFont="1" applyFill="1" applyBorder="1" applyProtection="1">
      <protection locked="0"/>
    </xf>
    <xf numFmtId="0" fontId="11" fillId="3" borderId="0" xfId="0" applyFont="1" applyFill="1"/>
    <xf numFmtId="169" fontId="5" fillId="3" borderId="0" xfId="2" applyNumberFormat="1" applyFont="1" applyFill="1"/>
    <xf numFmtId="164" fontId="0" fillId="2" borderId="1" xfId="2" applyNumberFormat="1" applyFont="1" applyFill="1" applyBorder="1" applyProtection="1">
      <protection locked="0"/>
    </xf>
    <xf numFmtId="2" fontId="4" fillId="3" borderId="0" xfId="0" applyNumberFormat="1" applyFont="1" applyFill="1" applyAlignment="1">
      <alignment horizontal="right"/>
    </xf>
    <xf numFmtId="167" fontId="11" fillId="3" borderId="0" xfId="3" applyNumberFormat="1" applyFont="1" applyFill="1" applyAlignment="1">
      <alignment horizontal="right"/>
    </xf>
    <xf numFmtId="165" fontId="0" fillId="7" borderId="0" xfId="2" applyNumberFormat="1" applyFont="1" applyFill="1" applyBorder="1"/>
    <xf numFmtId="168" fontId="11" fillId="3" borderId="0" xfId="2" applyNumberFormat="1" applyFont="1" applyFill="1"/>
    <xf numFmtId="170" fontId="11" fillId="3" borderId="0" xfId="4" applyFont="1" applyFill="1"/>
    <xf numFmtId="167" fontId="0" fillId="7" borderId="0" xfId="3" applyNumberFormat="1" applyFont="1" applyFill="1" applyBorder="1"/>
    <xf numFmtId="168" fontId="0" fillId="7" borderId="0" xfId="2" applyNumberFormat="1" applyFont="1" applyFill="1" applyBorder="1"/>
    <xf numFmtId="167" fontId="5" fillId="7" borderId="0" xfId="3" applyNumberFormat="1" applyFont="1" applyFill="1" applyBorder="1"/>
    <xf numFmtId="167" fontId="5" fillId="3" borderId="0" xfId="3" applyNumberFormat="1" applyFont="1" applyFill="1"/>
    <xf numFmtId="165" fontId="4" fillId="7" borderId="0" xfId="2" applyNumberFormat="1" applyFont="1" applyFill="1" applyBorder="1"/>
    <xf numFmtId="165" fontId="4" fillId="3" borderId="0" xfId="2" applyNumberFormat="1" applyFont="1" applyFill="1" applyBorder="1"/>
    <xf numFmtId="165" fontId="5" fillId="7" borderId="0" xfId="2" applyNumberFormat="1" applyFont="1" applyFill="1" applyBorder="1"/>
    <xf numFmtId="167" fontId="5" fillId="7" borderId="0" xfId="2" applyNumberFormat="1" applyFont="1" applyFill="1" applyBorder="1"/>
    <xf numFmtId="167" fontId="5" fillId="3" borderId="0" xfId="2" applyNumberFormat="1" applyFont="1" applyFill="1" applyBorder="1"/>
    <xf numFmtId="167" fontId="5" fillId="3" borderId="0" xfId="3" applyNumberFormat="1" applyFont="1" applyFill="1" applyBorder="1"/>
    <xf numFmtId="9" fontId="5" fillId="7" borderId="0" xfId="3" applyFont="1" applyFill="1" applyBorder="1"/>
    <xf numFmtId="9" fontId="5" fillId="3" borderId="0" xfId="3" applyFont="1" applyFill="1" applyBorder="1"/>
    <xf numFmtId="166" fontId="5" fillId="7" borderId="0" xfId="2" applyNumberFormat="1" applyFont="1" applyFill="1" applyBorder="1"/>
    <xf numFmtId="166" fontId="5" fillId="3" borderId="0" xfId="2" applyNumberFormat="1" applyFont="1" applyFill="1" applyBorder="1"/>
    <xf numFmtId="164" fontId="4" fillId="7" borderId="0" xfId="2" applyNumberFormat="1" applyFont="1" applyFill="1" applyBorder="1"/>
    <xf numFmtId="168" fontId="4" fillId="7" borderId="0" xfId="2" applyNumberFormat="1" applyFont="1" applyFill="1" applyBorder="1"/>
    <xf numFmtId="168" fontId="4" fillId="3" borderId="0" xfId="2" applyNumberFormat="1" applyFont="1" applyFill="1"/>
    <xf numFmtId="166" fontId="4" fillId="7" borderId="0" xfId="2" applyNumberFormat="1" applyFont="1" applyFill="1" applyBorder="1"/>
    <xf numFmtId="166" fontId="4" fillId="3" borderId="0" xfId="2" applyNumberFormat="1" applyFont="1" applyFill="1"/>
    <xf numFmtId="6" fontId="2" fillId="4" borderId="0" xfId="0" applyNumberFormat="1" applyFont="1" applyFill="1" applyAlignment="1">
      <alignment horizontal="right"/>
    </xf>
    <xf numFmtId="170" fontId="11" fillId="7" borderId="0" xfId="4" applyFont="1"/>
    <xf numFmtId="170" fontId="11" fillId="7" borderId="0" xfId="4" applyFont="1" applyAlignment="1">
      <alignment horizontal="right"/>
    </xf>
    <xf numFmtId="171" fontId="0" fillId="7" borderId="0" xfId="2" applyNumberFormat="1" applyFont="1" applyFill="1" applyBorder="1"/>
    <xf numFmtId="171" fontId="0" fillId="0" borderId="0" xfId="0" applyNumberFormat="1"/>
    <xf numFmtId="9" fontId="0" fillId="0" borderId="0" xfId="3" applyFont="1"/>
    <xf numFmtId="165" fontId="5" fillId="3" borderId="0" xfId="2" applyNumberFormat="1" applyFont="1" applyFill="1"/>
    <xf numFmtId="9" fontId="5" fillId="3" borderId="0" xfId="3" applyFont="1" applyFill="1"/>
    <xf numFmtId="167" fontId="0" fillId="3" borderId="0" xfId="3" applyNumberFormat="1" applyFont="1" applyFill="1" applyProtection="1">
      <protection locked="0"/>
    </xf>
    <xf numFmtId="9" fontId="0" fillId="3" borderId="0" xfId="3" applyFont="1" applyFill="1" applyProtection="1">
      <protection locked="0"/>
    </xf>
    <xf numFmtId="168" fontId="0" fillId="3" borderId="0" xfId="2" applyNumberFormat="1" applyFont="1" applyFill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BCFD70F6-03B9-4033-9E99-49090924EFA9}"/>
  </cellStyles>
  <dxfs count="14">
    <dxf>
      <font>
        <color rgb="FFFF0000"/>
      </font>
    </dxf>
    <dxf>
      <font>
        <color rgb="FF00B050"/>
      </font>
      <numFmt numFmtId="172" formatCode="&quot;OK&quot;"/>
    </dxf>
    <dxf>
      <font>
        <color rgb="FF00B050"/>
      </font>
      <numFmt numFmtId="172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numFmt numFmtId="172" formatCode="&quot;OK&quot;"/>
    </dxf>
    <dxf>
      <font>
        <color rgb="FF00B050"/>
      </font>
      <numFmt numFmtId="172" formatCode="&quot;OK&quot;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Sheet1!$B$1:$H$1</c:f>
              <c:strCache>
                <c:ptCount val="7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HY22</c:v>
                </c:pt>
              </c:strCache>
            </c:strRef>
          </c:cat>
          <c:val>
            <c:numRef>
              <c:f>Sheet1!$B$3:$H$3</c:f>
              <c:numCache>
                <c:formatCode>0"p"</c:formatCode>
                <c:ptCount val="7"/>
                <c:pt idx="0">
                  <c:v>77.3</c:v>
                </c:pt>
                <c:pt idx="1">
                  <c:v>106.4</c:v>
                </c:pt>
                <c:pt idx="2">
                  <c:v>150.9</c:v>
                </c:pt>
                <c:pt idx="3">
                  <c:v>85.2</c:v>
                </c:pt>
                <c:pt idx="4">
                  <c:v>166.4</c:v>
                </c:pt>
                <c:pt idx="5">
                  <c:v>239.4</c:v>
                </c:pt>
                <c:pt idx="6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D-4229-A9E4-D6C27316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228224"/>
        <c:axId val="1507191536"/>
      </c:barChart>
      <c:catAx>
        <c:axId val="15002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191536"/>
        <c:crosses val="autoZero"/>
        <c:auto val="1"/>
        <c:lblAlgn val="ctr"/>
        <c:lblOffset val="100"/>
        <c:noMultiLvlLbl val="0"/>
      </c:catAx>
      <c:valAx>
        <c:axId val="150719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p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22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10</xdr:row>
      <xdr:rowOff>33337</xdr:rowOff>
    </xdr:from>
    <xdr:to>
      <xdr:col>16</xdr:col>
      <xdr:colOff>85725</xdr:colOff>
      <xdr:row>25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4AF7AF-D767-20C4-9B95-855DE667E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Moss\Documents\Tim%20M\PF\ANX\ANX%20SP%20Model%20v_04.03.2023.xlsx" TargetMode="External"/><Relationship Id="rId1" Type="http://schemas.openxmlformats.org/officeDocument/2006/relationships/externalLinkPath" Target="/Users/TimMoss/Documents/Tim%20M/PF/ANX/ANX%20SP%20Model%20v_04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summary"/>
      <sheetName val="WACC"/>
      <sheetName val="detailed-financials"/>
      <sheetName val="checks"/>
    </sheetNames>
    <sheetDataSet>
      <sheetData sheetId="0">
        <row r="12">
          <cell r="E12">
            <v>44989</v>
          </cell>
        </row>
        <row r="13">
          <cell r="E13">
            <v>44742</v>
          </cell>
        </row>
      </sheetData>
      <sheetData sheetId="1"/>
      <sheetData sheetId="2"/>
      <sheetData sheetId="3"/>
      <sheetData sheetId="4">
        <row r="10">
          <cell r="E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dimension ref="A2:E23"/>
  <sheetViews>
    <sheetView topLeftCell="A5" workbookViewId="0">
      <selection activeCell="D20" sqref="D20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1" width="12.6640625" style="1" customWidth="1"/>
    <col min="52" max="16384" width="9.109375" style="1"/>
  </cols>
  <sheetData>
    <row r="2" spans="1:5" s="15" customFormat="1" ht="15" thickBot="1" x14ac:dyDescent="0.35">
      <c r="A2" s="13"/>
      <c r="B2" s="14" t="str">
        <f>UPPER(cover!E8&amp;" - "&amp;DAY(cover!E12)&amp;"/"&amp;MONTH(cover!E12)&amp;"/"&amp;YEAR(cover!E12))</f>
        <v>SECURE TRUST BANK PLC - 6/4/2023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 t="s">
        <v>0</v>
      </c>
      <c r="B4" s="2" t="s">
        <v>3</v>
      </c>
      <c r="E4" s="4"/>
    </row>
    <row r="6" spans="1:5" x14ac:dyDescent="0.3">
      <c r="B6" s="2" t="s">
        <v>6</v>
      </c>
      <c r="C6" s="3"/>
      <c r="D6" s="3"/>
      <c r="E6" s="4"/>
    </row>
    <row r="8" spans="1:5" x14ac:dyDescent="0.3">
      <c r="B8" s="1" t="s">
        <v>1</v>
      </c>
      <c r="D8" s="6"/>
      <c r="E8" s="9" t="s">
        <v>133</v>
      </c>
    </row>
    <row r="9" spans="1:5" x14ac:dyDescent="0.3">
      <c r="B9" s="1" t="s">
        <v>2</v>
      </c>
      <c r="D9" s="6"/>
      <c r="E9" s="9" t="s">
        <v>134</v>
      </c>
    </row>
    <row r="10" spans="1:5" x14ac:dyDescent="0.3">
      <c r="B10" s="1" t="s">
        <v>4</v>
      </c>
      <c r="D10" s="6"/>
      <c r="E10" s="44" t="s">
        <v>5</v>
      </c>
    </row>
    <row r="11" spans="1:5" x14ac:dyDescent="0.3">
      <c r="B11" s="1" t="s">
        <v>8</v>
      </c>
      <c r="D11" s="6"/>
      <c r="E11" s="10">
        <v>45022</v>
      </c>
    </row>
    <row r="12" spans="1:5" x14ac:dyDescent="0.3">
      <c r="B12" s="1" t="s">
        <v>94</v>
      </c>
      <c r="D12" s="7"/>
      <c r="E12" s="10">
        <v>45022</v>
      </c>
    </row>
    <row r="13" spans="1:5" x14ac:dyDescent="0.3">
      <c r="B13" s="1" t="s">
        <v>88</v>
      </c>
      <c r="D13" s="7"/>
      <c r="E13" s="10">
        <v>44926</v>
      </c>
    </row>
    <row r="14" spans="1:5" x14ac:dyDescent="0.3">
      <c r="B14" s="1" t="s">
        <v>108</v>
      </c>
      <c r="D14" s="27"/>
      <c r="E14" s="28">
        <f>E13</f>
        <v>44926</v>
      </c>
    </row>
    <row r="16" spans="1:5" x14ac:dyDescent="0.3">
      <c r="B16" s="2" t="s">
        <v>7</v>
      </c>
      <c r="C16" s="3"/>
      <c r="D16" s="3"/>
      <c r="E16" s="4"/>
    </row>
    <row r="18" spans="2:5" x14ac:dyDescent="0.3">
      <c r="D18" s="8" t="s">
        <v>13</v>
      </c>
      <c r="E18" s="8" t="s">
        <v>15</v>
      </c>
    </row>
    <row r="19" spans="2:5" x14ac:dyDescent="0.3">
      <c r="D19" s="8" t="s">
        <v>14</v>
      </c>
      <c r="E19" s="8" t="s">
        <v>14</v>
      </c>
    </row>
    <row r="20" spans="2:5" x14ac:dyDescent="0.3">
      <c r="B20" s="1" t="s">
        <v>9</v>
      </c>
      <c r="D20" s="11">
        <v>44651</v>
      </c>
      <c r="E20" s="11"/>
    </row>
    <row r="21" spans="2:5" x14ac:dyDescent="0.3">
      <c r="B21" s="1" t="s">
        <v>12</v>
      </c>
      <c r="D21" s="12">
        <f>EOMONTH(D20,3)</f>
        <v>44742</v>
      </c>
      <c r="E21" s="11">
        <v>44777</v>
      </c>
    </row>
    <row r="22" spans="2:5" x14ac:dyDescent="0.3">
      <c r="B22" s="1" t="s">
        <v>10</v>
      </c>
      <c r="D22" s="12">
        <f>EOMONTH(D21,3)</f>
        <v>44834</v>
      </c>
      <c r="E22" s="11"/>
    </row>
    <row r="23" spans="2:5" x14ac:dyDescent="0.3">
      <c r="B23" s="1" t="s">
        <v>11</v>
      </c>
      <c r="D23" s="12">
        <f>EOMONTH(D22,3)</f>
        <v>44926</v>
      </c>
      <c r="E23" s="11">
        <v>44644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427B0-BCEB-416A-98A0-EA7A32AD46F1}">
  <dimension ref="A1:O80"/>
  <sheetViews>
    <sheetView tabSelected="1" zoomScale="83" zoomScaleNormal="100" workbookViewId="0">
      <selection activeCell="D10" sqref="D10"/>
    </sheetView>
  </sheetViews>
  <sheetFormatPr defaultColWidth="9.109375" defaultRowHeight="14.4" x14ac:dyDescent="0.3"/>
  <cols>
    <col min="1" max="1" width="2.6640625" style="1" customWidth="1"/>
    <col min="2" max="2" width="12.6640625" style="1" customWidth="1"/>
    <col min="3" max="3" width="15.33203125" style="1" customWidth="1"/>
    <col min="4" max="7" width="12.6640625" style="1" customWidth="1"/>
    <col min="8" max="8" width="14.33203125" style="1" bestFit="1" customWidth="1"/>
    <col min="9" max="48" width="12.6640625" style="1" customWidth="1"/>
    <col min="49" max="16384" width="9.109375" style="1"/>
  </cols>
  <sheetData>
    <row r="1" spans="1:8" ht="35.4" customHeight="1" x14ac:dyDescent="0.65">
      <c r="B1" s="46" t="s">
        <v>136</v>
      </c>
    </row>
    <row r="2" spans="1:8" s="15" customFormat="1" ht="15" thickBot="1" x14ac:dyDescent="0.35">
      <c r="A2" s="13"/>
      <c r="B2" s="14" t="str">
        <f>UPPER(cover!E8&amp;" - "&amp;DAY(cover!E12)&amp;"/"&amp;MONTH(cover!E12)&amp;"/"&amp;YEAR(cover!E12))</f>
        <v>SECURE TRUST BANK PLC - 6/4/2023</v>
      </c>
    </row>
    <row r="3" spans="1:8" ht="15" thickTop="1" x14ac:dyDescent="0.3">
      <c r="B3" s="25" t="str">
        <f>IF([1]checks!E10&lt;&gt;0,"**ERROR**","")</f>
        <v/>
      </c>
    </row>
    <row r="4" spans="1:8" s="3" customFormat="1" x14ac:dyDescent="0.3">
      <c r="A4" s="5"/>
      <c r="B4" s="2" t="s">
        <v>137</v>
      </c>
    </row>
    <row r="6" spans="1:8" x14ac:dyDescent="0.3">
      <c r="B6" s="1" t="s">
        <v>76</v>
      </c>
      <c r="D6" s="47">
        <f>'cost-of-equity'!I14</f>
        <v>0.11457000000000001</v>
      </c>
      <c r="F6" s="48" t="s">
        <v>169</v>
      </c>
    </row>
    <row r="7" spans="1:8" x14ac:dyDescent="0.3">
      <c r="B7" s="1" t="s">
        <v>77</v>
      </c>
      <c r="D7" s="47">
        <v>0.02</v>
      </c>
      <c r="F7" s="21" t="s">
        <v>138</v>
      </c>
      <c r="G7" s="21"/>
      <c r="H7" s="49">
        <f>$D$12/(I56)</f>
        <v>3.8465941614195769</v>
      </c>
    </row>
    <row r="8" spans="1:8" x14ac:dyDescent="0.3">
      <c r="B8" s="1" t="s">
        <v>78</v>
      </c>
      <c r="D8" s="16">
        <f>cover!E12</f>
        <v>45022</v>
      </c>
      <c r="F8" s="21" t="s">
        <v>139</v>
      </c>
      <c r="G8" s="21"/>
      <c r="H8" s="49">
        <f>$D$12/J56/(J18/12)</f>
        <v>12.035996191730296</v>
      </c>
    </row>
    <row r="9" spans="1:8" x14ac:dyDescent="0.3">
      <c r="B9" s="1" t="s">
        <v>88</v>
      </c>
      <c r="D9" s="16">
        <f>[1]cover!E13</f>
        <v>44742</v>
      </c>
      <c r="F9" s="21" t="s">
        <v>141</v>
      </c>
      <c r="G9" s="21"/>
      <c r="H9" s="49">
        <f>$D$12/K56</f>
        <v>11.782846783065443</v>
      </c>
    </row>
    <row r="10" spans="1:8" x14ac:dyDescent="0.3">
      <c r="B10" s="1" t="s">
        <v>171</v>
      </c>
      <c r="D10" s="50">
        <f>'detailed-financials'!I60/'detailed-financials'!I64*10^8</f>
        <v>19290211.791642819</v>
      </c>
      <c r="F10" s="21" t="s">
        <v>164</v>
      </c>
      <c r="G10" s="48"/>
      <c r="H10" s="49">
        <f>D12/I45</f>
        <v>0.39654396830786098</v>
      </c>
    </row>
    <row r="11" spans="1:8" x14ac:dyDescent="0.3">
      <c r="B11" s="41"/>
      <c r="F11" s="21" t="s">
        <v>165</v>
      </c>
      <c r="G11" s="21"/>
      <c r="H11" s="49">
        <f>D12/J45</f>
        <v>0.38909944545084807</v>
      </c>
    </row>
    <row r="12" spans="1:8" x14ac:dyDescent="0.3">
      <c r="B12" s="41" t="s">
        <v>159</v>
      </c>
      <c r="D12" s="50">
        <v>672</v>
      </c>
      <c r="F12" s="21" t="s">
        <v>166</v>
      </c>
      <c r="G12" s="21"/>
      <c r="H12" s="49">
        <f>D12/K45</f>
        <v>0.38177814228318813</v>
      </c>
    </row>
    <row r="13" spans="1:8" x14ac:dyDescent="0.3">
      <c r="B13" s="41" t="s">
        <v>160</v>
      </c>
      <c r="D13" s="51">
        <f>D79</f>
        <v>1337.4064416865656</v>
      </c>
      <c r="F13" s="21" t="s">
        <v>168</v>
      </c>
      <c r="G13" s="21"/>
      <c r="H13" s="59">
        <f>SUM(E54:I54)/SUM(E43:I43)</f>
        <v>0.11295850652665353</v>
      </c>
    </row>
    <row r="14" spans="1:8" x14ac:dyDescent="0.3">
      <c r="B14" s="48" t="s">
        <v>140</v>
      </c>
      <c r="D14" s="52">
        <f>1-D12/D13</f>
        <v>0.49753494595662351</v>
      </c>
      <c r="F14" s="21"/>
      <c r="G14" s="21"/>
      <c r="H14" s="49"/>
    </row>
    <row r="16" spans="1:8" x14ac:dyDescent="0.3">
      <c r="B16" s="41"/>
    </row>
    <row r="17" spans="2:15" x14ac:dyDescent="0.3">
      <c r="B17" s="1" t="s">
        <v>18</v>
      </c>
      <c r="E17" s="16">
        <f>'detailed-financials'!E6</f>
        <v>43465</v>
      </c>
      <c r="F17" s="16">
        <f>'detailed-financials'!F6</f>
        <v>43830</v>
      </c>
      <c r="G17" s="16">
        <f>'detailed-financials'!G6</f>
        <v>44196</v>
      </c>
      <c r="H17" s="16">
        <f>'detailed-financials'!H6</f>
        <v>44561</v>
      </c>
      <c r="I17" s="16">
        <f>'detailed-financials'!I6</f>
        <v>44926</v>
      </c>
      <c r="J17" s="16">
        <f>'detailed-financials'!J6</f>
        <v>45291</v>
      </c>
      <c r="K17" s="16">
        <f>'detailed-financials'!K6</f>
        <v>45657</v>
      </c>
      <c r="L17" s="16">
        <f>'detailed-financials'!L6</f>
        <v>46022</v>
      </c>
      <c r="M17" s="16">
        <f>'detailed-financials'!M6</f>
        <v>46387</v>
      </c>
      <c r="N17" s="16">
        <f>'detailed-financials'!N6</f>
        <v>46752</v>
      </c>
      <c r="O17" s="16">
        <f>'detailed-financials'!O6</f>
        <v>47118</v>
      </c>
    </row>
    <row r="18" spans="2:15" x14ac:dyDescent="0.3">
      <c r="B18" s="1" t="s">
        <v>45</v>
      </c>
      <c r="E18" s="1">
        <f>'detailed-financials'!E7</f>
        <v>12</v>
      </c>
      <c r="F18" s="1">
        <f>'detailed-financials'!F7</f>
        <v>12</v>
      </c>
      <c r="G18" s="1">
        <f>'detailed-financials'!G7</f>
        <v>12</v>
      </c>
      <c r="H18" s="1">
        <f>'detailed-financials'!H7</f>
        <v>12</v>
      </c>
      <c r="I18" s="1">
        <f>'detailed-financials'!I7</f>
        <v>12</v>
      </c>
      <c r="J18" s="1">
        <f>'detailed-financials'!J7</f>
        <v>12</v>
      </c>
      <c r="K18" s="1">
        <f>'detailed-financials'!K7</f>
        <v>12</v>
      </c>
      <c r="L18" s="1">
        <f>'detailed-financials'!L7</f>
        <v>12</v>
      </c>
      <c r="M18" s="1">
        <f>'detailed-financials'!M7</f>
        <v>12</v>
      </c>
      <c r="N18" s="1">
        <f>'detailed-financials'!N7</f>
        <v>12</v>
      </c>
      <c r="O18" s="1">
        <f>'detailed-financials'!O7</f>
        <v>12</v>
      </c>
    </row>
    <row r="19" spans="2:15" x14ac:dyDescent="0.3">
      <c r="B19" s="41"/>
    </row>
    <row r="20" spans="2:15" x14ac:dyDescent="0.3">
      <c r="B20" s="2" t="s">
        <v>64</v>
      </c>
      <c r="C20" s="3"/>
      <c r="D20" s="5"/>
      <c r="E20" s="4"/>
      <c r="F20" s="4"/>
      <c r="G20" s="4"/>
      <c r="H20" s="4"/>
      <c r="I20" s="4"/>
      <c r="J20" s="4"/>
      <c r="K20" s="4"/>
      <c r="L20" s="4"/>
      <c r="M20" s="5"/>
      <c r="N20" s="5"/>
      <c r="O20" s="75" t="str">
        <f>cover!$E$10</f>
        <v>£m</v>
      </c>
    </row>
    <row r="21" spans="2:15" x14ac:dyDescent="0.3">
      <c r="D21" s="24"/>
    </row>
    <row r="22" spans="2:15" x14ac:dyDescent="0.3">
      <c r="B22" s="1" t="s">
        <v>123</v>
      </c>
      <c r="E22" s="32"/>
      <c r="F22" s="32">
        <f>('detailed-financials'!F13/'detailed-financials'!E13-1)/(F18/12)</f>
        <v>0.23723678230571132</v>
      </c>
      <c r="G22" s="32">
        <f>('detailed-financials'!G13/'detailed-financials'!F13-1)/(G18/12)</f>
        <v>-3.7222970491000318E-2</v>
      </c>
      <c r="H22" s="32">
        <f>('detailed-financials'!H13/'detailed-financials'!G13-1)/(H18/12)</f>
        <v>7.2788163974733866E-2</v>
      </c>
      <c r="I22" s="32">
        <f>('detailed-financials'!I13/'detailed-financials'!H13-1)/(I18/12)</f>
        <v>0.15367896941436809</v>
      </c>
      <c r="J22" s="83">
        <v>0.05</v>
      </c>
      <c r="K22" s="83">
        <v>-0.05</v>
      </c>
      <c r="L22" s="83">
        <v>0.02</v>
      </c>
      <c r="M22" s="83">
        <v>0.02</v>
      </c>
      <c r="N22" s="83">
        <v>0.02</v>
      </c>
      <c r="O22" s="83">
        <v>5.0000000000000001E-3</v>
      </c>
    </row>
    <row r="23" spans="2:15" x14ac:dyDescent="0.3">
      <c r="B23" s="1" t="s">
        <v>158</v>
      </c>
      <c r="E23" s="32"/>
      <c r="F23" s="32">
        <f>('detailed-financials'!F23/'detailed-financials'!E23-1)/(F18/12)</f>
        <v>9.3413432916598982E-2</v>
      </c>
      <c r="G23" s="32">
        <f>('detailed-financials'!G23/'detailed-financials'!F23-1)/(G18/12)</f>
        <v>-1.3760332623867666E-2</v>
      </c>
      <c r="H23" s="32">
        <f>('detailed-financials'!H23/'detailed-financials'!G23-1)/(H18/12)</f>
        <v>5.5558343789209541E-2</v>
      </c>
      <c r="I23" s="32">
        <f>('detailed-financials'!I23/'detailed-financials'!H23-1)/(I18/12)</f>
        <v>0.19560669456066959</v>
      </c>
      <c r="J23" s="83">
        <v>0.05</v>
      </c>
      <c r="K23" s="83">
        <v>-0.1</v>
      </c>
      <c r="L23" s="83">
        <v>0.04</v>
      </c>
      <c r="M23" s="83">
        <v>0.03</v>
      </c>
      <c r="N23" s="83">
        <v>0.02</v>
      </c>
      <c r="O23" s="83">
        <v>0.01</v>
      </c>
    </row>
    <row r="24" spans="2:15" x14ac:dyDescent="0.3">
      <c r="B24" s="1" t="s">
        <v>128</v>
      </c>
      <c r="E24" s="31">
        <f>-'detailed-financials'!E13/-'detailed-financials'!E23</f>
        <v>1.0717648968988471</v>
      </c>
      <c r="F24" s="31">
        <f>-'detailed-financials'!F13/-'detailed-financials'!F23</f>
        <v>1.2127406820769193</v>
      </c>
      <c r="G24" s="31">
        <f>-'detailed-financials'!G13/-'detailed-financials'!G23</f>
        <v>1.1838895859473024</v>
      </c>
      <c r="H24" s="31">
        <f>-'detailed-financials'!H13/-'detailed-financials'!H23</f>
        <v>1.2032141498668696</v>
      </c>
      <c r="I24" s="31">
        <f>-'detailed-financials'!I13/-'detailed-financials'!I23</f>
        <v>1.1610196452716137</v>
      </c>
      <c r="J24" s="84">
        <f>-'detailed-financials'!J13/-'detailed-financials'!J23</f>
        <v>1.1610196452716137</v>
      </c>
      <c r="K24" s="84">
        <f>-'detailed-financials'!K13/-'detailed-financials'!K23</f>
        <v>1.2255207366755922</v>
      </c>
      <c r="L24" s="84">
        <f>-'detailed-financials'!L13/-'detailed-financials'!L23</f>
        <v>1.2019530302010615</v>
      </c>
      <c r="M24" s="84">
        <f>-'detailed-financials'!M13/-'detailed-financials'!M23</f>
        <v>1.1902835833059056</v>
      </c>
      <c r="N24" s="84">
        <f>-'detailed-financials'!N13/-'detailed-financials'!N23</f>
        <v>1.1902835833059056</v>
      </c>
      <c r="O24" s="84">
        <f>-'detailed-financials'!O13/-'detailed-financials'!O23</f>
        <v>1.1843910903192425</v>
      </c>
    </row>
    <row r="25" spans="2:15" x14ac:dyDescent="0.3">
      <c r="B25" s="1" t="s">
        <v>157</v>
      </c>
      <c r="E25" s="45">
        <f>'detailed-financials'!E13/'detailed-financials'!E40</f>
        <v>9.1090156393744248</v>
      </c>
      <c r="F25" s="45">
        <f>'detailed-financials'!F13/'detailed-financials'!F40</f>
        <v>9.6422668240850058</v>
      </c>
      <c r="G25" s="45">
        <f>'detailed-financials'!G13/'detailed-financials'!G40</f>
        <v>8.7205175600739366</v>
      </c>
      <c r="H25" s="45">
        <f>'detailed-financials'!H13/'detailed-financials'!H40</f>
        <v>8.3683862433862437</v>
      </c>
      <c r="I25" s="45">
        <f>'detailed-financials'!I13/'detailed-financials'!I40</f>
        <v>8.9308657081676355</v>
      </c>
      <c r="J25" s="85">
        <f>'detailed-financials'!J13/'detailed-financials'!J40</f>
        <v>9.2013620954473421</v>
      </c>
      <c r="K25" s="85">
        <f>'detailed-financials'!K13/'detailed-financials'!K40</f>
        <v>8.5768176231766304</v>
      </c>
      <c r="L25" s="85">
        <f>'detailed-financials'!L13/'detailed-financials'!L40</f>
        <v>8.3580890361650191</v>
      </c>
      <c r="M25" s="85">
        <f>'detailed-financials'!M13/'detailed-financials'!M40</f>
        <v>8.2270622645320834</v>
      </c>
      <c r="N25" s="85">
        <f>'detailed-financials'!N13/'detailed-financials'!N40</f>
        <v>8.1729168372750429</v>
      </c>
      <c r="O25" s="85">
        <f>'detailed-financials'!O13/'detailed-financials'!O40</f>
        <v>8.2137814214614178</v>
      </c>
    </row>
    <row r="26" spans="2:15" x14ac:dyDescent="0.3">
      <c r="B26" s="1" t="s">
        <v>124</v>
      </c>
      <c r="E26" s="32">
        <f>'detailed-financials'!E46/'detailed-financials'!E13*(12/'detailed-financials'!E7)</f>
        <v>8.544159975761248E-2</v>
      </c>
      <c r="F26" s="32">
        <f>'detailed-financials'!F46/'detailed-financials'!F13*(12/'detailed-financials'!F7)</f>
        <v>7.8119260438349464E-2</v>
      </c>
      <c r="G26" s="32">
        <f>'detailed-financials'!G46/'detailed-financials'!G13*(12/'detailed-financials'!G7)</f>
        <v>8.1605833227351723E-2</v>
      </c>
      <c r="H26" s="32">
        <f>'detailed-financials'!H46/'detailed-financials'!H13*(12/'detailed-financials'!H7)</f>
        <v>6.4767248873784877E-2</v>
      </c>
      <c r="I26" s="32">
        <f>'detailed-financials'!I46/'detailed-financials'!I13*(12/'detailed-financials'!I7)</f>
        <v>6.9532454187360843E-2</v>
      </c>
      <c r="J26" s="83">
        <f t="shared" ref="J26:O26" si="0">I26</f>
        <v>6.9532454187360843E-2</v>
      </c>
      <c r="K26" s="83">
        <f t="shared" si="0"/>
        <v>6.9532454187360843E-2</v>
      </c>
      <c r="L26" s="83">
        <f t="shared" si="0"/>
        <v>6.9532454187360843E-2</v>
      </c>
      <c r="M26" s="83">
        <f t="shared" si="0"/>
        <v>6.9532454187360843E-2</v>
      </c>
      <c r="N26" s="83">
        <f t="shared" si="0"/>
        <v>6.9532454187360843E-2</v>
      </c>
      <c r="O26" s="83">
        <f t="shared" si="0"/>
        <v>6.9532454187360843E-2</v>
      </c>
    </row>
    <row r="27" spans="2:15" x14ac:dyDescent="0.3">
      <c r="B27" s="1" t="s">
        <v>126</v>
      </c>
      <c r="E27" s="32">
        <f>-'detailed-financials'!E47/'detailed-financials'!E23</f>
        <v>1.9213075715754722E-2</v>
      </c>
      <c r="F27" s="32">
        <f>-'detailed-financials'!F47/'detailed-financials'!F23</f>
        <v>2.2768895708558137E-2</v>
      </c>
      <c r="G27" s="32">
        <f>-'detailed-financials'!G47/'detailed-financials'!G23</f>
        <v>2.0878293601003763E-2</v>
      </c>
      <c r="H27" s="32">
        <f>-'detailed-financials'!H47/'detailed-financials'!H23</f>
        <v>1.3170406998858882E-2</v>
      </c>
      <c r="I27" s="32">
        <f>-'detailed-financials'!I47/'detailed-financials'!I23</f>
        <v>2.0042949176807445E-2</v>
      </c>
      <c r="J27" s="83">
        <v>0.02</v>
      </c>
      <c r="K27" s="83">
        <v>0.02</v>
      </c>
      <c r="L27" s="83">
        <f>K27</f>
        <v>0.02</v>
      </c>
      <c r="M27" s="83">
        <f>L27</f>
        <v>0.02</v>
      </c>
      <c r="N27" s="83">
        <f>M27</f>
        <v>0.02</v>
      </c>
      <c r="O27" s="83">
        <f>N27</f>
        <v>0.02</v>
      </c>
    </row>
    <row r="28" spans="2:15" x14ac:dyDescent="0.3">
      <c r="B28" s="1" t="s">
        <v>125</v>
      </c>
      <c r="E28" s="32">
        <f>-'detailed-financials'!E52/'detailed-financials'!E51</f>
        <v>0.55738786279683383</v>
      </c>
      <c r="F28" s="32">
        <f>-'detailed-financials'!F52/'detailed-financials'!F51</f>
        <v>0.56918429003021154</v>
      </c>
      <c r="G28" s="32">
        <f>-'detailed-financials'!G52/'detailed-financials'!G51</f>
        <v>0.56196319018404906</v>
      </c>
      <c r="H28" s="32">
        <f>-'detailed-financials'!H52/'detailed-financials'!H51</f>
        <v>0.59481037924151692</v>
      </c>
      <c r="I28" s="32">
        <f>-'detailed-financials'!I52/'detailed-financials'!I51</f>
        <v>0.54694835680751175</v>
      </c>
      <c r="J28" s="83">
        <v>0.55000000000000004</v>
      </c>
      <c r="K28" s="83">
        <v>0.55000000000000004</v>
      </c>
      <c r="L28" s="83">
        <v>0.55000000000000004</v>
      </c>
      <c r="M28" s="83">
        <v>0.55000000000000004</v>
      </c>
      <c r="N28" s="83">
        <v>0.55000000000000004</v>
      </c>
      <c r="O28" s="83">
        <v>0.55000000000000004</v>
      </c>
    </row>
    <row r="29" spans="2:15" x14ac:dyDescent="0.3">
      <c r="B29" s="1" t="s">
        <v>127</v>
      </c>
      <c r="E29" s="32">
        <f>SUM('detailed-financials'!E49:E50)/SUM('detailed-financials'!E13,'detailed-financials'!E23)</f>
        <v>4.6760710553813995E-3</v>
      </c>
      <c r="F29" s="32">
        <f>SUM('detailed-financials'!F49:F50)/SUM('detailed-financials'!F13,'detailed-financials'!F23)</f>
        <v>4.4962419470293497E-3</v>
      </c>
      <c r="G29" s="32">
        <f>SUM('detailed-financials'!G49:G50)/SUM('detailed-financials'!G13,'detailed-financials'!G23)</f>
        <v>2.7807142528841295E-3</v>
      </c>
      <c r="H29" s="32">
        <f>SUM('detailed-financials'!H49:H50)/SUM('detailed-financials'!H13,'detailed-financials'!H23)</f>
        <v>3.0428589926194487E-3</v>
      </c>
      <c r="I29" s="32">
        <f>SUM('detailed-financials'!I49:I50)/SUM('detailed-financials'!I13,'detailed-financials'!I23)</f>
        <v>3.2756114167939491E-3</v>
      </c>
      <c r="J29" s="83">
        <f t="shared" ref="J29:O29" si="1">I29</f>
        <v>3.2756114167939491E-3</v>
      </c>
      <c r="K29" s="83">
        <f t="shared" si="1"/>
        <v>3.2756114167939491E-3</v>
      </c>
      <c r="L29" s="83">
        <f t="shared" si="1"/>
        <v>3.2756114167939491E-3</v>
      </c>
      <c r="M29" s="83">
        <f t="shared" si="1"/>
        <v>3.2756114167939491E-3</v>
      </c>
      <c r="N29" s="83">
        <f t="shared" si="1"/>
        <v>3.2756114167939491E-3</v>
      </c>
      <c r="O29" s="83">
        <f t="shared" si="1"/>
        <v>3.2756114167939491E-3</v>
      </c>
    </row>
    <row r="30" spans="2:15" x14ac:dyDescent="0.3">
      <c r="B30" s="1" t="s">
        <v>131</v>
      </c>
      <c r="E30" s="32">
        <f>'detailed-financials'!E54/'detailed-financials'!E13</f>
        <v>-1.6361157400393879E-2</v>
      </c>
      <c r="F30" s="32">
        <f>'detailed-financials'!F54/'detailed-financials'!F13</f>
        <v>-1.3305579364107589E-2</v>
      </c>
      <c r="G30" s="32">
        <f>'detailed-financials'!G54/'detailed-financials'!G13</f>
        <v>-2.1747424647081265E-2</v>
      </c>
      <c r="H30" s="32">
        <f>'detailed-financials'!H54/'detailed-financials'!H13</f>
        <v>-1.9758160120129614E-3</v>
      </c>
      <c r="I30" s="32">
        <f>'detailed-financials'!I54/'detailed-financials'!I13</f>
        <v>-1.3084432265798938E-2</v>
      </c>
      <c r="J30" s="83">
        <f>MIN(D30:I30)</f>
        <v>-2.1747424647081265E-2</v>
      </c>
      <c r="K30" s="83">
        <f>MIN(E30:J30)</f>
        <v>-2.1747424647081265E-2</v>
      </c>
      <c r="L30" s="83">
        <f>AVERAGE($G$30:$I$30)</f>
        <v>-1.2269224308297721E-2</v>
      </c>
      <c r="M30" s="83">
        <f>AVERAGE($G$30:$I$30)</f>
        <v>-1.2269224308297721E-2</v>
      </c>
      <c r="N30" s="83">
        <f>AVERAGE($G$30:$I$30)</f>
        <v>-1.2269224308297721E-2</v>
      </c>
      <c r="O30" s="83">
        <f>AVERAGE($G$30:$I$30)</f>
        <v>-1.2269224308297721E-2</v>
      </c>
    </row>
    <row r="31" spans="2:15" x14ac:dyDescent="0.3">
      <c r="B31" s="1" t="s">
        <v>65</v>
      </c>
      <c r="E31" s="32">
        <f>-'detailed-financials'!E57/'detailed-financials'!E56</f>
        <v>0.18443804034582137</v>
      </c>
      <c r="F31" s="32">
        <f>-'detailed-financials'!F57/'detailed-financials'!F56</f>
        <v>0.19638242894056848</v>
      </c>
      <c r="G31" s="32">
        <f>-'detailed-financials'!G57/'detailed-financials'!G56</f>
        <v>0.19402985074626858</v>
      </c>
      <c r="H31" s="32">
        <f>-'detailed-financials'!H57/'detailed-financials'!H56</f>
        <v>0.18571428571428569</v>
      </c>
      <c r="I31" s="32">
        <f>-'detailed-financials'!I57/'detailed-financials'!I56</f>
        <v>0.21809744779582366</v>
      </c>
      <c r="J31" s="83">
        <v>0.25</v>
      </c>
      <c r="K31" s="83">
        <v>0.25</v>
      </c>
      <c r="L31" s="83">
        <v>0.25</v>
      </c>
      <c r="M31" s="83">
        <v>0.25</v>
      </c>
      <c r="N31" s="83">
        <v>0.25</v>
      </c>
      <c r="O31" s="83">
        <v>0.25</v>
      </c>
    </row>
    <row r="32" spans="2:15" x14ac:dyDescent="0.3">
      <c r="B32" s="1" t="s">
        <v>66</v>
      </c>
      <c r="E32" s="32">
        <f>-'detailed-financials'!E86/'detailed-financials'!E60</f>
        <v>0.52296819787985871</v>
      </c>
      <c r="F32" s="32">
        <f>-'detailed-financials'!F86/'detailed-financials'!F60</f>
        <v>0.49839228295819943</v>
      </c>
      <c r="G32" s="32">
        <f>-'detailed-financials'!G86/'detailed-financials'!G60</f>
        <v>0</v>
      </c>
      <c r="H32" s="32">
        <f>-'detailed-financials'!H86/'detailed-financials'!H60</f>
        <v>0.26096491228070173</v>
      </c>
      <c r="I32" s="32">
        <f>-'detailed-financials'!I86/'detailed-financials'!I60</f>
        <v>0.31750741839762608</v>
      </c>
      <c r="J32" s="83">
        <v>0.4</v>
      </c>
      <c r="K32" s="83">
        <v>0.4</v>
      </c>
      <c r="L32" s="83">
        <v>0.5</v>
      </c>
      <c r="M32" s="83">
        <v>0.6</v>
      </c>
      <c r="N32" s="83">
        <v>0.7</v>
      </c>
      <c r="O32" s="83">
        <v>1</v>
      </c>
    </row>
    <row r="33" spans="2:15" x14ac:dyDescent="0.3">
      <c r="B33" s="1" t="s">
        <v>129</v>
      </c>
      <c r="E33" s="32">
        <f>'detailed-financials'!E60/SUM('detailed-financials'!E$37)*(12/'detailed-financials'!E$7)</f>
        <v>0.13017479300827967</v>
      </c>
      <c r="F33" s="32">
        <f>'detailed-financials'!F60/SUM('detailed-financials'!F$37)*(12/'detailed-financials'!F$7)</f>
        <v>0.1223927587563951</v>
      </c>
      <c r="G33" s="32">
        <f>'detailed-financials'!G60/SUM('detailed-financials'!G$37)*(12/'detailed-financials'!G$7)</f>
        <v>5.9889094269870644E-2</v>
      </c>
      <c r="H33" s="32">
        <f>'detailed-financials'!H60/SUM('detailed-financials'!H$37)*(12/'detailed-financials'!H$7)</f>
        <v>0.15079365079365084</v>
      </c>
      <c r="I33" s="32">
        <f>'detailed-financials'!I60/SUM('detailed-financials'!I$37)*(12/'detailed-financials'!I$7)</f>
        <v>0.10308962985622516</v>
      </c>
      <c r="J33" s="83">
        <f>'detailed-financials'!J60/SUM('detailed-financials'!J$37)*(12/'detailed-financials'!J$7)</f>
        <v>3.1289186286118938E-2</v>
      </c>
      <c r="K33" s="83">
        <f>'detailed-financials'!K60/SUM('detailed-financials'!K$37)*(12/'detailed-financials'!K$7)</f>
        <v>3.1360034275970908E-2</v>
      </c>
      <c r="L33" s="83">
        <f>'detailed-financials'!L60/SUM('detailed-financials'!L$37)*(12/'detailed-financials'!L$7)</f>
        <v>8.9220198579490581E-2</v>
      </c>
      <c r="M33" s="83">
        <f>'detailed-financials'!M60/SUM('detailed-financials'!M$37)*(12/'detailed-financials'!M$7)</f>
        <v>8.7442750589088222E-2</v>
      </c>
      <c r="N33" s="83">
        <f>'detailed-financials'!N60/SUM('detailed-financials'!N$37)*(12/'detailed-financials'!N$7)</f>
        <v>8.686725657446423E-2</v>
      </c>
      <c r="O33" s="83">
        <f>'detailed-financials'!O60/SUM('detailed-financials'!O$37)*(12/'detailed-financials'!O$7)</f>
        <v>8.7107807629809061E-2</v>
      </c>
    </row>
    <row r="34" spans="2:15" x14ac:dyDescent="0.3">
      <c r="B34" s="1" t="s">
        <v>130</v>
      </c>
      <c r="E34" s="32">
        <f>'detailed-financials'!E$60/SUM($D$12*$D$10/10^8)*(12/'detailed-financials'!E$7)</f>
        <v>0.21831328599689126</v>
      </c>
      <c r="F34" s="32">
        <f>'detailed-financials'!F$60/SUM($D$12*$D$10/10^8)*(12/'detailed-financials'!F$7)</f>
        <v>0.2399131870849229</v>
      </c>
      <c r="G34" s="32">
        <f>'detailed-financials'!G$60/SUM($D$12*$D$10/10^8)*(12/'detailed-financials'!G$7)</f>
        <v>0.12497085629504032</v>
      </c>
      <c r="H34" s="32">
        <f>'detailed-financials'!H$60/SUM($D$12*$D$10/10^8)*(12/'detailed-financials'!H$7)</f>
        <v>0.3517698177193726</v>
      </c>
      <c r="I34" s="32">
        <f>'detailed-financials'!I$60/SUM($D$12*$D$10/10^8)*(12/'detailed-financials'!I$7)</f>
        <v>0.25997023809523806</v>
      </c>
      <c r="J34" s="83">
        <f>'detailed-financials'!J$60/SUM($D$12*$D$10/10^8)*(12/'detailed-financials'!J$7)</f>
        <v>8.0414368747979761E-2</v>
      </c>
      <c r="K34" s="83">
        <f>'detailed-financials'!K$60/SUM($D$12*$D$10/10^8)*(12/'detailed-financials'!K$7)</f>
        <v>8.2142036965304463E-2</v>
      </c>
      <c r="L34" s="83">
        <f>'detailed-financials'!L$60/SUM($D$12*$D$10/10^8)*(12/'detailed-financials'!L$7)</f>
        <v>0.24460846317352442</v>
      </c>
      <c r="M34" s="83">
        <f>'detailed-financials'!M$60/SUM($D$12*$D$10/10^8)*(12/'detailed-financials'!M$7)</f>
        <v>0.24842453445523072</v>
      </c>
      <c r="N34" s="83">
        <f>'detailed-financials'!N$60/SUM($D$12*$D$10/10^8)*(12/'detailed-financials'!N$7)</f>
        <v>0.25339302514433532</v>
      </c>
      <c r="O34" s="83">
        <f>'detailed-financials'!O$60/SUM($D$12*$D$10/10^8)*(12/'detailed-financials'!O$7)</f>
        <v>0.25409471600023609</v>
      </c>
    </row>
    <row r="35" spans="2:15" x14ac:dyDescent="0.3">
      <c r="B35" s="41"/>
    </row>
    <row r="36" spans="2:15" x14ac:dyDescent="0.3">
      <c r="B36" s="2" t="s">
        <v>142</v>
      </c>
      <c r="C36" s="3"/>
      <c r="D36" s="5"/>
      <c r="E36" s="4"/>
      <c r="F36" s="4"/>
      <c r="G36" s="4"/>
      <c r="H36" s="4"/>
      <c r="I36" s="4"/>
      <c r="J36" s="4"/>
      <c r="K36" s="4"/>
      <c r="L36" s="4"/>
      <c r="M36" s="5"/>
      <c r="N36" s="5"/>
      <c r="O36" s="75" t="str">
        <f>cover!$E$10</f>
        <v>£m</v>
      </c>
    </row>
    <row r="37" spans="2:15" x14ac:dyDescent="0.3">
      <c r="B37" s="41"/>
    </row>
    <row r="38" spans="2:15" x14ac:dyDescent="0.3">
      <c r="B38" s="41" t="s">
        <v>145</v>
      </c>
      <c r="C38" s="41"/>
      <c r="D38" s="41"/>
      <c r="E38" s="60">
        <f>'detailed-financials'!E13</f>
        <v>1980.3</v>
      </c>
      <c r="F38" s="60">
        <f>'detailed-financials'!F13</f>
        <v>2450.1</v>
      </c>
      <c r="G38" s="60">
        <f>'detailed-financials'!G13</f>
        <v>2358.9</v>
      </c>
      <c r="H38" s="60">
        <f>'detailed-financials'!H13</f>
        <v>2530.6</v>
      </c>
      <c r="I38" s="60">
        <f>'detailed-financials'!I13</f>
        <v>2919.5</v>
      </c>
      <c r="J38" s="61">
        <f>'detailed-financials'!J13</f>
        <v>3065.4749999999999</v>
      </c>
      <c r="K38" s="61">
        <f>'detailed-financials'!K13</f>
        <v>2912.2012499999996</v>
      </c>
      <c r="L38" s="61">
        <f>'detailed-financials'!L13</f>
        <v>2970.4452749999996</v>
      </c>
      <c r="M38" s="61">
        <f>'detailed-financials'!M13</f>
        <v>3029.8541804999995</v>
      </c>
      <c r="N38" s="61">
        <f>'detailed-financials'!N13</f>
        <v>3090.4512641099996</v>
      </c>
      <c r="O38" s="61">
        <f>'detailed-financials'!O13</f>
        <v>3105.9035204305492</v>
      </c>
    </row>
    <row r="39" spans="2:15" x14ac:dyDescent="0.3">
      <c r="B39" s="21" t="s">
        <v>153</v>
      </c>
      <c r="C39" s="41"/>
      <c r="D39" s="41"/>
      <c r="E39" s="62"/>
      <c r="F39" s="58">
        <f>F38/E38-1</f>
        <v>0.23723678230571132</v>
      </c>
      <c r="G39" s="63">
        <f t="shared" ref="G39:O39" si="2">G38/F38-1</f>
        <v>-3.7222970491000318E-2</v>
      </c>
      <c r="H39" s="63">
        <f t="shared" si="2"/>
        <v>7.2788163974733866E-2</v>
      </c>
      <c r="I39" s="63">
        <f t="shared" si="2"/>
        <v>0.15367896941436809</v>
      </c>
      <c r="J39" s="64">
        <f t="shared" si="2"/>
        <v>5.0000000000000044E-2</v>
      </c>
      <c r="K39" s="64">
        <f t="shared" si="2"/>
        <v>-5.0000000000000044E-2</v>
      </c>
      <c r="L39" s="64">
        <f t="shared" si="2"/>
        <v>2.0000000000000018E-2</v>
      </c>
      <c r="M39" s="64">
        <f t="shared" si="2"/>
        <v>2.0000000000000018E-2</v>
      </c>
      <c r="N39" s="64">
        <f t="shared" si="2"/>
        <v>2.0000000000000018E-2</v>
      </c>
      <c r="O39" s="64">
        <f t="shared" si="2"/>
        <v>4.9999999999998934E-3</v>
      </c>
    </row>
    <row r="40" spans="2:15" x14ac:dyDescent="0.3">
      <c r="B40" s="41" t="s">
        <v>146</v>
      </c>
      <c r="C40" s="41"/>
      <c r="D40" s="41"/>
      <c r="E40" s="60">
        <f>'detailed-financials'!E23</f>
        <v>1847.7</v>
      </c>
      <c r="F40" s="60">
        <f>'detailed-financials'!F23</f>
        <v>2020.3</v>
      </c>
      <c r="G40" s="60">
        <f>'detailed-financials'!G23</f>
        <v>1992.5</v>
      </c>
      <c r="H40" s="60">
        <f>'detailed-financials'!H23</f>
        <v>2103.1999999999998</v>
      </c>
      <c r="I40" s="60">
        <f>'detailed-financials'!I23</f>
        <v>2514.6</v>
      </c>
      <c r="J40" s="61">
        <f>'detailed-financials'!J23</f>
        <v>2640.33</v>
      </c>
      <c r="K40" s="61">
        <f>'detailed-financials'!K23</f>
        <v>2376.297</v>
      </c>
      <c r="L40" s="61">
        <f>'detailed-financials'!L23</f>
        <v>2471.34888</v>
      </c>
      <c r="M40" s="61">
        <f>'detailed-financials'!M23</f>
        <v>2545.4893464000002</v>
      </c>
      <c r="N40" s="61">
        <f>'detailed-financials'!N23</f>
        <v>2596.3991333280001</v>
      </c>
      <c r="O40" s="61">
        <f>'detailed-financials'!O23</f>
        <v>2622.3631246612799</v>
      </c>
    </row>
    <row r="41" spans="2:15" x14ac:dyDescent="0.3">
      <c r="B41" s="21" t="s">
        <v>153</v>
      </c>
      <c r="C41" s="41"/>
      <c r="D41" s="41"/>
      <c r="E41" s="62"/>
      <c r="F41" s="58">
        <f>F40/E40-1</f>
        <v>9.3413432916598982E-2</v>
      </c>
      <c r="G41" s="58">
        <f t="shared" ref="G41:O41" si="3">G40/F40-1</f>
        <v>-1.3760332623867666E-2</v>
      </c>
      <c r="H41" s="58">
        <f t="shared" si="3"/>
        <v>5.5558343789209541E-2</v>
      </c>
      <c r="I41" s="58">
        <f t="shared" si="3"/>
        <v>0.19560669456066959</v>
      </c>
      <c r="J41" s="65">
        <f t="shared" si="3"/>
        <v>5.0000000000000044E-2</v>
      </c>
      <c r="K41" s="65">
        <f t="shared" si="3"/>
        <v>-9.9999999999999978E-2</v>
      </c>
      <c r="L41" s="65">
        <f t="shared" si="3"/>
        <v>4.0000000000000036E-2</v>
      </c>
      <c r="M41" s="65">
        <f t="shared" si="3"/>
        <v>3.0000000000000027E-2</v>
      </c>
      <c r="N41" s="65">
        <f t="shared" si="3"/>
        <v>2.0000000000000018E-2</v>
      </c>
      <c r="O41" s="65">
        <f t="shared" si="3"/>
        <v>1.0000000000000009E-2</v>
      </c>
    </row>
    <row r="42" spans="2:15" x14ac:dyDescent="0.3">
      <c r="B42" s="21" t="s">
        <v>148</v>
      </c>
      <c r="C42" s="41"/>
      <c r="D42" s="41"/>
      <c r="E42" s="66">
        <f>E38/E40</f>
        <v>1.0717648968988471</v>
      </c>
      <c r="F42" s="66">
        <f t="shared" ref="F42:O42" si="4">F38/F40</f>
        <v>1.2127406820769193</v>
      </c>
      <c r="G42" s="66">
        <f t="shared" si="4"/>
        <v>1.1838895859473024</v>
      </c>
      <c r="H42" s="66">
        <f t="shared" si="4"/>
        <v>1.2032141498668696</v>
      </c>
      <c r="I42" s="66">
        <f t="shared" si="4"/>
        <v>1.1610196452716137</v>
      </c>
      <c r="J42" s="67">
        <f t="shared" si="4"/>
        <v>1.1610196452716137</v>
      </c>
      <c r="K42" s="67">
        <f t="shared" si="4"/>
        <v>1.2255207366755922</v>
      </c>
      <c r="L42" s="67">
        <f t="shared" si="4"/>
        <v>1.2019530302010615</v>
      </c>
      <c r="M42" s="67">
        <f t="shared" si="4"/>
        <v>1.1902835833059056</v>
      </c>
      <c r="N42" s="67">
        <f t="shared" si="4"/>
        <v>1.1902835833059056</v>
      </c>
      <c r="O42" s="67">
        <f t="shared" si="4"/>
        <v>1.1843910903192425</v>
      </c>
    </row>
    <row r="43" spans="2:15" x14ac:dyDescent="0.3">
      <c r="B43" s="41" t="s">
        <v>147</v>
      </c>
      <c r="C43" s="41"/>
      <c r="D43" s="41"/>
      <c r="E43" s="60">
        <f>'detailed-financials'!E40</f>
        <v>217.4</v>
      </c>
      <c r="F43" s="60">
        <f>'detailed-financials'!F40</f>
        <v>254.1</v>
      </c>
      <c r="G43" s="60">
        <f>'detailed-financials'!G40</f>
        <v>270.5</v>
      </c>
      <c r="H43" s="60">
        <f>'detailed-financials'!H40</f>
        <v>302.39999999999998</v>
      </c>
      <c r="I43" s="60">
        <f>'detailed-financials'!I40</f>
        <v>326.89999999999998</v>
      </c>
      <c r="J43" s="61">
        <f>'detailed-financials'!J40</f>
        <v>333.1544795434948</v>
      </c>
      <c r="K43" s="61">
        <f>'detailed-financials'!K40</f>
        <v>339.54333389700736</v>
      </c>
      <c r="L43" s="61">
        <f>'detailed-financials'!L40</f>
        <v>355.39765874077636</v>
      </c>
      <c r="M43" s="61">
        <f>'detailed-financials'!M40</f>
        <v>368.27898988465029</v>
      </c>
      <c r="N43" s="61">
        <f>'detailed-financials'!N40</f>
        <v>378.13320820971381</v>
      </c>
      <c r="O43" s="61">
        <f>'detailed-financials'!O40</f>
        <v>378.13320820971381</v>
      </c>
    </row>
    <row r="44" spans="2:15" x14ac:dyDescent="0.3">
      <c r="B44" s="21" t="s">
        <v>157</v>
      </c>
      <c r="C44" s="41"/>
      <c r="D44" s="41"/>
      <c r="E44" s="68">
        <f>E38/E43</f>
        <v>9.1090156393744248</v>
      </c>
      <c r="F44" s="68">
        <f t="shared" ref="F44:O44" si="5">F38/F43</f>
        <v>9.6422668240850058</v>
      </c>
      <c r="G44" s="68">
        <f t="shared" si="5"/>
        <v>8.7205175600739366</v>
      </c>
      <c r="H44" s="68">
        <f t="shared" si="5"/>
        <v>8.3683862433862437</v>
      </c>
      <c r="I44" s="68">
        <f t="shared" si="5"/>
        <v>8.9308657081676355</v>
      </c>
      <c r="J44" s="69">
        <f t="shared" si="5"/>
        <v>9.2013620954473421</v>
      </c>
      <c r="K44" s="69">
        <f t="shared" si="5"/>
        <v>8.5768176231766304</v>
      </c>
      <c r="L44" s="69">
        <f t="shared" si="5"/>
        <v>8.3580890361650191</v>
      </c>
      <c r="M44" s="69">
        <f t="shared" si="5"/>
        <v>8.2270622645320834</v>
      </c>
      <c r="N44" s="69">
        <f t="shared" si="5"/>
        <v>8.1729168372750429</v>
      </c>
      <c r="O44" s="69">
        <f t="shared" si="5"/>
        <v>8.2137814214614178</v>
      </c>
    </row>
    <row r="45" spans="2:15" x14ac:dyDescent="0.3">
      <c r="B45" s="21" t="s">
        <v>170</v>
      </c>
      <c r="C45" s="41"/>
      <c r="D45" s="41"/>
      <c r="E45" s="68">
        <f t="shared" ref="E45:O45" si="6">E43/$D$10*10^8</f>
        <v>1126.9964391691392</v>
      </c>
      <c r="F45" s="68">
        <f t="shared" si="6"/>
        <v>1317.2483679525221</v>
      </c>
      <c r="G45" s="68">
        <f t="shared" si="6"/>
        <v>1402.2655786350147</v>
      </c>
      <c r="H45" s="68">
        <f t="shared" si="6"/>
        <v>1567.634421364985</v>
      </c>
      <c r="I45" s="68">
        <f t="shared" si="6"/>
        <v>1694.641839762611</v>
      </c>
      <c r="J45" s="69">
        <f t="shared" si="6"/>
        <v>1727.0649132417964</v>
      </c>
      <c r="K45" s="69">
        <f t="shared" si="6"/>
        <v>1760.1845825462071</v>
      </c>
      <c r="L45" s="69">
        <f t="shared" si="6"/>
        <v>1842.3730261725111</v>
      </c>
      <c r="M45" s="69">
        <f t="shared" si="6"/>
        <v>1909.1495410340769</v>
      </c>
      <c r="N45" s="69">
        <f t="shared" si="6"/>
        <v>1960.2335749031749</v>
      </c>
      <c r="O45" s="69">
        <f t="shared" si="6"/>
        <v>1960.2335749031749</v>
      </c>
    </row>
    <row r="46" spans="2:15" x14ac:dyDescent="0.3">
      <c r="B46" s="41"/>
      <c r="E46" s="53"/>
      <c r="F46" s="53"/>
      <c r="G46" s="53"/>
      <c r="H46" s="53"/>
      <c r="I46" s="53"/>
    </row>
    <row r="47" spans="2:15" x14ac:dyDescent="0.3">
      <c r="B47" s="41" t="s">
        <v>101</v>
      </c>
      <c r="E47" s="70">
        <f>'detailed-financials'!E48</f>
        <v>133.69999999999999</v>
      </c>
      <c r="F47" s="70">
        <f>'detailed-financials'!F48</f>
        <v>145.4</v>
      </c>
      <c r="G47" s="70">
        <f>'detailed-financials'!G48</f>
        <v>150.9</v>
      </c>
      <c r="H47" s="70">
        <f>'detailed-financials'!H48</f>
        <v>136.20000000000002</v>
      </c>
      <c r="I47" s="70">
        <f>'detailed-financials'!I48</f>
        <v>152.6</v>
      </c>
      <c r="J47" s="42">
        <f>'detailed-financials'!J48</f>
        <v>160.34339999999997</v>
      </c>
      <c r="K47" s="42">
        <f>'detailed-financials'!K48</f>
        <v>154.96655999999996</v>
      </c>
      <c r="L47" s="42">
        <f>'detailed-financials'!L48</f>
        <v>157.11537239999996</v>
      </c>
      <c r="M47" s="42">
        <f>'detailed-financials'!M48</f>
        <v>159.76341007199994</v>
      </c>
      <c r="N47" s="42">
        <f>'detailed-financials'!N48</f>
        <v>162.95867827343994</v>
      </c>
      <c r="O47" s="42">
        <f>'detailed-financials'!O48</f>
        <v>163.51383175147433</v>
      </c>
    </row>
    <row r="48" spans="2:15" x14ac:dyDescent="0.3">
      <c r="B48" s="21" t="s">
        <v>151</v>
      </c>
      <c r="E48" s="58">
        <f t="shared" ref="E48:O48" si="7">E47/E38/(E18/12)</f>
        <v>6.7515022976316716E-2</v>
      </c>
      <c r="F48" s="58">
        <f t="shared" si="7"/>
        <v>5.9344516550344888E-2</v>
      </c>
      <c r="G48" s="58">
        <f t="shared" si="7"/>
        <v>6.3970494722116245E-2</v>
      </c>
      <c r="H48" s="58">
        <f t="shared" si="7"/>
        <v>5.3821228167233073E-2</v>
      </c>
      <c r="I48" s="58">
        <f t="shared" si="7"/>
        <v>5.2269224182222983E-2</v>
      </c>
      <c r="J48" s="59">
        <f t="shared" si="7"/>
        <v>5.2306216817948274E-2</v>
      </c>
      <c r="K48" s="59">
        <f t="shared" si="7"/>
        <v>5.3212860890022619E-2</v>
      </c>
      <c r="L48" s="59">
        <f t="shared" si="7"/>
        <v>5.2892868864584615E-2</v>
      </c>
      <c r="M48" s="59">
        <f t="shared" si="7"/>
        <v>5.2729735675145627E-2</v>
      </c>
      <c r="N48" s="59">
        <f t="shared" si="7"/>
        <v>5.2729735675145627E-2</v>
      </c>
      <c r="O48" s="59">
        <f t="shared" si="7"/>
        <v>5.2646140060656994E-2</v>
      </c>
    </row>
    <row r="49" spans="2:15" x14ac:dyDescent="0.3">
      <c r="B49" s="41" t="s">
        <v>149</v>
      </c>
      <c r="E49" s="70">
        <f>'detailed-financials'!E50+'detailed-financials'!E49</f>
        <v>17.899999999999999</v>
      </c>
      <c r="F49" s="70">
        <f>'detailed-financials'!F50+'detailed-financials'!F49</f>
        <v>20.100000000000001</v>
      </c>
      <c r="G49" s="70">
        <f>'detailed-financials'!G50+'detailed-financials'!G49</f>
        <v>12.1</v>
      </c>
      <c r="H49" s="70">
        <f>'detailed-financials'!H50+'detailed-financials'!H49</f>
        <v>14.1</v>
      </c>
      <c r="I49" s="70">
        <f>'detailed-financials'!I50+'detailed-financials'!I49</f>
        <v>17.8</v>
      </c>
      <c r="J49" s="42">
        <f>'detailed-financials'!J50+'detailed-financials'!J49</f>
        <v>18.690000000000001</v>
      </c>
      <c r="K49" s="42">
        <f>'detailed-financials'!K50+'detailed-financials'!K49</f>
        <v>17.323065245394819</v>
      </c>
      <c r="L49" s="42">
        <f>'detailed-financials'!L50+'detailed-financials'!L49</f>
        <v>17.825203061960579</v>
      </c>
      <c r="M49" s="42">
        <f>'detailed-financials'!M50+'detailed-financials'!M49</f>
        <v>18.262658909261884</v>
      </c>
      <c r="N49" s="42">
        <f>'detailed-financials'!N50+'detailed-financials'!N49</f>
        <v>18.627912087447118</v>
      </c>
      <c r="O49" s="42">
        <f>'detailed-financials'!O50+'detailed-financials'!O49</f>
        <v>18.76357562110277</v>
      </c>
    </row>
    <row r="50" spans="2:15" x14ac:dyDescent="0.3">
      <c r="B50" s="21" t="s">
        <v>152</v>
      </c>
      <c r="E50" s="58">
        <f t="shared" ref="E50:O50" si="8">E49/(E40+E38)/(12/E18)</f>
        <v>4.6760710553813995E-3</v>
      </c>
      <c r="F50" s="56">
        <f t="shared" si="8"/>
        <v>4.4962419470293497E-3</v>
      </c>
      <c r="G50" s="56">
        <f t="shared" si="8"/>
        <v>2.7807142528841295E-3</v>
      </c>
      <c r="H50" s="56">
        <f t="shared" si="8"/>
        <v>3.0428589926194487E-3</v>
      </c>
      <c r="I50" s="56">
        <f t="shared" si="8"/>
        <v>3.2756114167939491E-3</v>
      </c>
      <c r="J50" s="32">
        <f t="shared" si="8"/>
        <v>3.2756114167939495E-3</v>
      </c>
      <c r="K50" s="32">
        <f t="shared" si="8"/>
        <v>3.2756114167939491E-3</v>
      </c>
      <c r="L50" s="32">
        <f t="shared" si="8"/>
        <v>3.2756114167939491E-3</v>
      </c>
      <c r="M50" s="32">
        <f t="shared" si="8"/>
        <v>3.2756114167939495E-3</v>
      </c>
      <c r="N50" s="32">
        <f t="shared" si="8"/>
        <v>3.2756114167939486E-3</v>
      </c>
      <c r="O50" s="32">
        <f t="shared" si="8"/>
        <v>3.2756114167939491E-3</v>
      </c>
    </row>
    <row r="51" spans="2:15" x14ac:dyDescent="0.3">
      <c r="B51" s="41" t="s">
        <v>150</v>
      </c>
      <c r="E51" s="73">
        <f>-'detailed-financials'!E54</f>
        <v>32.4</v>
      </c>
      <c r="F51" s="73">
        <f>-'detailed-financials'!F54</f>
        <v>32.6</v>
      </c>
      <c r="G51" s="73">
        <f>-'detailed-financials'!G54</f>
        <v>51.3</v>
      </c>
      <c r="H51" s="73">
        <f>-'detailed-financials'!H54</f>
        <v>5</v>
      </c>
      <c r="I51" s="73">
        <f>-'detailed-financials'!I54</f>
        <v>38.200000000000003</v>
      </c>
      <c r="J51" s="74">
        <f>-'detailed-financials'!J54</f>
        <v>66.666186570011433</v>
      </c>
      <c r="K51" s="74">
        <f>-'detailed-financials'!K54</f>
        <v>63.332877241510857</v>
      </c>
      <c r="L51" s="74">
        <f>-'detailed-financials'!L54</f>
        <v>36.445059374498101</v>
      </c>
      <c r="M51" s="74">
        <f>-'detailed-financials'!M54</f>
        <v>37.173960561988068</v>
      </c>
      <c r="N51" s="74">
        <f>-'detailed-financials'!N54</f>
        <v>37.917439773227827</v>
      </c>
      <c r="O51" s="74">
        <f>-'detailed-financials'!O54</f>
        <v>38.107026972093962</v>
      </c>
    </row>
    <row r="52" spans="2:15" x14ac:dyDescent="0.3">
      <c r="B52" s="21" t="s">
        <v>152</v>
      </c>
      <c r="E52" s="58">
        <f t="shared" ref="E52:O52" si="9">E51/(E38+E40)/(12/E18)</f>
        <v>8.4639498432601875E-3</v>
      </c>
      <c r="F52" s="58">
        <f t="shared" si="9"/>
        <v>7.2924123120973522E-3</v>
      </c>
      <c r="G52" s="58">
        <f t="shared" si="9"/>
        <v>1.1789309187847589E-2</v>
      </c>
      <c r="H52" s="58">
        <f t="shared" si="9"/>
        <v>1.0790280115671805E-3</v>
      </c>
      <c r="I52" s="58">
        <f t="shared" si="9"/>
        <v>7.0296829281757791E-3</v>
      </c>
      <c r="J52" s="59">
        <f t="shared" si="9"/>
        <v>1.1683923052051626E-2</v>
      </c>
      <c r="K52" s="59">
        <f t="shared" si="9"/>
        <v>1.1975588200584327E-2</v>
      </c>
      <c r="L52" s="59">
        <f t="shared" si="9"/>
        <v>6.6972506376434416E-3</v>
      </c>
      <c r="M52" s="59">
        <f t="shared" si="9"/>
        <v>6.6675641388966598E-3</v>
      </c>
      <c r="N52" s="59">
        <f t="shared" si="9"/>
        <v>6.6675641388966598E-3</v>
      </c>
      <c r="O52" s="59">
        <f t="shared" si="9"/>
        <v>6.6524534092255181E-3</v>
      </c>
    </row>
    <row r="53" spans="2:15" x14ac:dyDescent="0.3">
      <c r="B53" s="41"/>
      <c r="E53" s="53"/>
      <c r="F53" s="53"/>
      <c r="G53" s="53"/>
      <c r="H53" s="53"/>
      <c r="I53" s="53"/>
    </row>
    <row r="54" spans="2:15" x14ac:dyDescent="0.3">
      <c r="B54" s="41" t="s">
        <v>154</v>
      </c>
      <c r="E54" s="71">
        <f>'detailed-financials'!E58</f>
        <v>28.299999999999997</v>
      </c>
      <c r="F54" s="71">
        <f>'detailed-financials'!F58</f>
        <v>31.099999999999994</v>
      </c>
      <c r="G54" s="71">
        <f>'detailed-financials'!G58</f>
        <v>16.20000000000001</v>
      </c>
      <c r="H54" s="71">
        <f>'detailed-financials'!H58</f>
        <v>45.600000000000009</v>
      </c>
      <c r="I54" s="71">
        <f>'detailed-financials'!I58</f>
        <v>33.700000000000003</v>
      </c>
      <c r="J54" s="72">
        <f>'detailed-financials'!J58</f>
        <v>10.424132572491409</v>
      </c>
      <c r="K54" s="72">
        <f>'detailed-financials'!K58</f>
        <v>10.648090589187586</v>
      </c>
      <c r="L54" s="72">
        <f>'detailed-financials'!L58</f>
        <v>31.708649687538092</v>
      </c>
      <c r="M54" s="72">
        <f>'detailed-financials'!M58</f>
        <v>32.203327859684819</v>
      </c>
      <c r="N54" s="72">
        <f>'detailed-financials'!N58</f>
        <v>32.847394416878515</v>
      </c>
      <c r="O54" s="72">
        <f>'detailed-financials'!O58</f>
        <v>32.938354759174288</v>
      </c>
    </row>
    <row r="55" spans="2:15" x14ac:dyDescent="0.3">
      <c r="B55" s="41"/>
      <c r="E55" s="53"/>
      <c r="F55" s="53"/>
      <c r="G55" s="53"/>
      <c r="H55" s="53"/>
      <c r="I55" s="53"/>
    </row>
    <row r="56" spans="2:15" x14ac:dyDescent="0.3">
      <c r="B56" s="48" t="s">
        <v>143</v>
      </c>
      <c r="C56" s="48"/>
      <c r="D56" s="48"/>
      <c r="E56" s="57">
        <f>'detailed-financials'!E64</f>
        <v>150.9</v>
      </c>
      <c r="F56" s="57">
        <f>'detailed-financials'!F64</f>
        <v>166.4</v>
      </c>
      <c r="G56" s="57">
        <f>'detailed-financials'!G64</f>
        <v>85.2</v>
      </c>
      <c r="H56" s="57">
        <f>'detailed-financials'!H64</f>
        <v>239.4</v>
      </c>
      <c r="I56" s="57">
        <f>'detailed-financials'!I64</f>
        <v>174.7</v>
      </c>
      <c r="J56" s="54">
        <f>'detailed-financials'!J64</f>
        <v>55.83252015829968</v>
      </c>
      <c r="K56" s="54">
        <f>'detailed-financials'!K64</f>
        <v>57.032057903512133</v>
      </c>
      <c r="L56" s="54">
        <f>'detailed-financials'!L64</f>
        <v>169.83416227301558</v>
      </c>
      <c r="M56" s="54">
        <f>'detailed-financials'!M64</f>
        <v>172.48369966389049</v>
      </c>
      <c r="N56" s="54">
        <f>'detailed-financials'!N64</f>
        <v>175.93337365716829</v>
      </c>
      <c r="O56" s="54">
        <f>'detailed-financials'!O64</f>
        <v>176.42056480804033</v>
      </c>
    </row>
    <row r="57" spans="2:15" x14ac:dyDescent="0.3">
      <c r="B57" s="48" t="s">
        <v>144</v>
      </c>
      <c r="C57" s="48"/>
      <c r="D57" s="48"/>
      <c r="E57" s="76">
        <f>$D$12/E56*(E18/12)</f>
        <v>4.4532803180914513</v>
      </c>
      <c r="F57" s="76">
        <f t="shared" ref="F57:O57" si="10">$D$12/F56*(F18/12)</f>
        <v>4.0384615384615383</v>
      </c>
      <c r="G57" s="76">
        <f t="shared" si="10"/>
        <v>7.887323943661972</v>
      </c>
      <c r="H57" s="76">
        <f t="shared" si="10"/>
        <v>2.807017543859649</v>
      </c>
      <c r="I57" s="76">
        <f t="shared" si="10"/>
        <v>3.8465941614195769</v>
      </c>
      <c r="J57" s="55">
        <f t="shared" si="10"/>
        <v>12.035996191730296</v>
      </c>
      <c r="K57" s="55">
        <f t="shared" si="10"/>
        <v>11.782846783065443</v>
      </c>
      <c r="L57" s="55">
        <f t="shared" si="10"/>
        <v>3.9568010994144491</v>
      </c>
      <c r="M57" s="55">
        <f t="shared" si="10"/>
        <v>3.8960203271931753</v>
      </c>
      <c r="N57" s="55">
        <f t="shared" si="10"/>
        <v>3.8196277717580154</v>
      </c>
      <c r="O57" s="55">
        <f t="shared" si="10"/>
        <v>3.8090797449333058</v>
      </c>
    </row>
    <row r="58" spans="2:15" x14ac:dyDescent="0.3">
      <c r="E58" s="53"/>
      <c r="F58" s="53"/>
      <c r="G58" s="53"/>
      <c r="H58" s="53"/>
      <c r="I58" s="53"/>
    </row>
    <row r="59" spans="2:15" x14ac:dyDescent="0.3">
      <c r="B59" s="48" t="s">
        <v>155</v>
      </c>
      <c r="C59" s="48"/>
      <c r="D59" s="48"/>
      <c r="E59" s="53">
        <f>-'detailed-financials'!E86/summary!$D$10*10^8</f>
        <v>76.722848664688414</v>
      </c>
      <c r="F59" s="53">
        <f>-'detailed-financials'!F86/summary!$D$10*10^8</f>
        <v>80.351632047477736</v>
      </c>
      <c r="G59" s="53">
        <f>-'detailed-financials'!G86/summary!$D$10*10^8</f>
        <v>0</v>
      </c>
      <c r="H59" s="53">
        <f>-'detailed-financials'!H86/summary!$D$10*10^8</f>
        <v>61.689317507418387</v>
      </c>
      <c r="I59" s="53">
        <f>-'detailed-financials'!I86/summary!$D$10*10^8</f>
        <v>55.468545994065266</v>
      </c>
      <c r="J59" s="54">
        <f>-'detailed-financials'!J86/summary!$D$10*10^8</f>
        <v>21.615382319456963</v>
      </c>
      <c r="K59" s="54">
        <f>-'detailed-financials'!K86/summary!$D$10*10^8</f>
        <v>22.07977953627384</v>
      </c>
      <c r="L59" s="54">
        <f>-'detailed-financials'!L86/summary!$D$10*10^8</f>
        <v>82.18844362630422</v>
      </c>
      <c r="M59" s="54">
        <f>-'detailed-financials'!M86/summary!$D$10*10^8</f>
        <v>100.16477229234901</v>
      </c>
      <c r="N59" s="54">
        <f>-'detailed-financials'!N86/summary!$D$10*10^8</f>
        <v>119.19607902789534</v>
      </c>
      <c r="O59" s="54">
        <f>-'detailed-financials'!O86/summary!$D$10*10^8</f>
        <v>170.75164915215868</v>
      </c>
    </row>
    <row r="60" spans="2:15" x14ac:dyDescent="0.3">
      <c r="B60" s="21" t="s">
        <v>167</v>
      </c>
      <c r="C60" s="48"/>
      <c r="D60" s="48"/>
      <c r="E60" s="76">
        <f>IFERROR(E56/E59,0)</f>
        <v>1.9668195671343929</v>
      </c>
      <c r="F60" s="76">
        <f t="shared" ref="F60:O60" si="11">IFERROR(F56/F59,0)</f>
        <v>2.0708975755673324</v>
      </c>
      <c r="G60" s="77">
        <f t="shared" si="11"/>
        <v>0</v>
      </c>
      <c r="H60" s="76">
        <f t="shared" si="11"/>
        <v>3.8807367251422615</v>
      </c>
      <c r="I60" s="76">
        <f t="shared" si="11"/>
        <v>3.1495327102803743</v>
      </c>
      <c r="J60" s="55">
        <f t="shared" si="11"/>
        <v>2.5829994275901544</v>
      </c>
      <c r="K60" s="55">
        <f t="shared" si="11"/>
        <v>2.5829994275901544</v>
      </c>
      <c r="L60" s="55">
        <f t="shared" si="11"/>
        <v>2.0663995420721237</v>
      </c>
      <c r="M60" s="55">
        <f t="shared" si="11"/>
        <v>1.7219996183934367</v>
      </c>
      <c r="N60" s="55">
        <f t="shared" si="11"/>
        <v>1.47599967290866</v>
      </c>
      <c r="O60" s="55">
        <f t="shared" si="11"/>
        <v>1.0331997710360619</v>
      </c>
    </row>
    <row r="63" spans="2:15" x14ac:dyDescent="0.3">
      <c r="B63" s="2" t="s">
        <v>183</v>
      </c>
      <c r="C63" s="2"/>
      <c r="D63" s="5" t="s">
        <v>79</v>
      </c>
      <c r="E63" s="5">
        <f t="shared" ref="E63:J63" si="12">YEAR(E65)</f>
        <v>2023</v>
      </c>
      <c r="F63" s="2">
        <f t="shared" si="12"/>
        <v>2024</v>
      </c>
      <c r="G63" s="2">
        <f t="shared" si="12"/>
        <v>2025</v>
      </c>
      <c r="H63" s="5">
        <f t="shared" si="12"/>
        <v>2026</v>
      </c>
      <c r="I63" s="5">
        <f t="shared" si="12"/>
        <v>2027</v>
      </c>
      <c r="J63" s="5">
        <f t="shared" si="12"/>
        <v>2028</v>
      </c>
      <c r="K63" s="5" t="s">
        <v>80</v>
      </c>
    </row>
    <row r="65" spans="2:11" x14ac:dyDescent="0.3">
      <c r="B65" s="1" t="s">
        <v>18</v>
      </c>
      <c r="D65" s="16">
        <f>D8</f>
        <v>45022</v>
      </c>
      <c r="E65" s="16">
        <f>EOMONTH(D9,18)</f>
        <v>45291</v>
      </c>
      <c r="F65" s="16">
        <f>EOMONTH(E65,12)</f>
        <v>45657</v>
      </c>
      <c r="G65" s="16">
        <f t="shared" ref="G65:J65" si="13">EOMONTH(F65,12)</f>
        <v>46022</v>
      </c>
      <c r="H65" s="16">
        <f t="shared" si="13"/>
        <v>46387</v>
      </c>
      <c r="I65" s="16">
        <f t="shared" si="13"/>
        <v>46752</v>
      </c>
      <c r="J65" s="16">
        <f t="shared" si="13"/>
        <v>47118</v>
      </c>
      <c r="K65" s="16">
        <f>J65</f>
        <v>47118</v>
      </c>
    </row>
    <row r="66" spans="2:11" x14ac:dyDescent="0.3">
      <c r="B66" s="1" t="s">
        <v>81</v>
      </c>
      <c r="E66" s="38">
        <f t="shared" ref="E66:J66" si="14">IF($D$65&gt;E65,0,YEARFRAC($D$65,E65))</f>
        <v>0.73611111111111116</v>
      </c>
      <c r="F66" s="38">
        <f t="shared" si="14"/>
        <v>1.7361111111111112</v>
      </c>
      <c r="G66" s="38">
        <f t="shared" si="14"/>
        <v>2.7361111111111112</v>
      </c>
      <c r="H66" s="38">
        <f t="shared" si="14"/>
        <v>3.7361111111111112</v>
      </c>
      <c r="I66" s="38">
        <f t="shared" si="14"/>
        <v>4.7361111111111107</v>
      </c>
      <c r="J66" s="38">
        <f t="shared" si="14"/>
        <v>5.7361111111111107</v>
      </c>
      <c r="K66" s="38">
        <f>J66</f>
        <v>5.7361111111111107</v>
      </c>
    </row>
    <row r="67" spans="2:11" x14ac:dyDescent="0.3">
      <c r="B67" s="21" t="s">
        <v>184</v>
      </c>
      <c r="E67" s="81">
        <f>INDEX('detailed-financials'!$E$58:$O$58,MATCH(summary!E65,'detailed-financials'!$E$6:$O$6,0))</f>
        <v>10.424132572491409</v>
      </c>
      <c r="F67" s="81">
        <f>INDEX('detailed-financials'!$E$58:$O$58,MATCH(summary!F65,'detailed-financials'!$E$6:$O$6,0))</f>
        <v>10.648090589187586</v>
      </c>
      <c r="G67" s="81">
        <f>INDEX('detailed-financials'!$E$58:$O$58,MATCH(summary!G65,'detailed-financials'!$E$6:$O$6,0))</f>
        <v>31.708649687538092</v>
      </c>
      <c r="H67" s="81">
        <f>INDEX('detailed-financials'!$E$58:$O$58,MATCH(summary!H65,'detailed-financials'!$E$6:$O$6,0))</f>
        <v>32.203327859684819</v>
      </c>
      <c r="I67" s="81">
        <f>INDEX('detailed-financials'!$E$58:$O$58,MATCH(summary!I65,'detailed-financials'!$E$6:$O$6,0))</f>
        <v>32.847394416878515</v>
      </c>
      <c r="J67" s="81">
        <f>INDEX('detailed-financials'!$E$58:$O$58,MATCH(summary!J65,'detailed-financials'!$E$6:$O$6,0))</f>
        <v>32.938354759174288</v>
      </c>
      <c r="K67" s="81">
        <f>J67*(1+D7)</f>
        <v>33.597121854357773</v>
      </c>
    </row>
    <row r="68" spans="2:11" x14ac:dyDescent="0.3">
      <c r="B68" s="21" t="s">
        <v>185</v>
      </c>
      <c r="E68" s="82">
        <f t="shared" ref="E68:J68" si="15">INDEX($J$32:$O$32,MATCH(E65,$J$17:$O$17,0))</f>
        <v>0.4</v>
      </c>
      <c r="F68" s="82">
        <f t="shared" si="15"/>
        <v>0.4</v>
      </c>
      <c r="G68" s="82">
        <f t="shared" si="15"/>
        <v>0.5</v>
      </c>
      <c r="H68" s="82">
        <f t="shared" si="15"/>
        <v>0.6</v>
      </c>
      <c r="I68" s="82">
        <f t="shared" si="15"/>
        <v>0.7</v>
      </c>
      <c r="J68" s="82">
        <f t="shared" si="15"/>
        <v>1</v>
      </c>
      <c r="K68" s="82">
        <v>1</v>
      </c>
    </row>
    <row r="69" spans="2:11" x14ac:dyDescent="0.3">
      <c r="B69" s="1" t="s">
        <v>132</v>
      </c>
      <c r="D69" s="19"/>
      <c r="E69" s="24">
        <f>-INDEX('detailed-financials'!$E$86:$O$86,MATCH(summary!E65,'detailed-financials'!$E$6:$O$6,0))</f>
        <v>4.1696530289965636</v>
      </c>
      <c r="F69" s="24">
        <f>-INDEX('detailed-financials'!$E$86:$O$86,MATCH(summary!F65,'detailed-financials'!$E$6:$O$6,0))</f>
        <v>4.2592362356750346</v>
      </c>
      <c r="G69" s="24">
        <f>-INDEX('detailed-financials'!$E$86:$O$86,MATCH(summary!G65,'detailed-financials'!$E$6:$O$6,0))</f>
        <v>15.854324843769046</v>
      </c>
      <c r="H69" s="24">
        <f>-INDEX('detailed-financials'!$E$86:$O$86,MATCH(summary!H65,'detailed-financials'!$E$6:$O$6,0))</f>
        <v>19.32199671581089</v>
      </c>
      <c r="I69" s="24">
        <f>-INDEX('detailed-financials'!$E$86:$O$86,MATCH(summary!I65,'detailed-financials'!$E$6:$O$6,0))</f>
        <v>22.993176091814959</v>
      </c>
      <c r="J69" s="24">
        <f>-INDEX('detailed-financials'!$E$86:$O$86,MATCH(summary!J65,'detailed-financials'!$E$6:$O$6,0))</f>
        <v>32.938354759174288</v>
      </c>
      <c r="K69" s="24">
        <f>K68*K67</f>
        <v>33.597121854357773</v>
      </c>
    </row>
    <row r="70" spans="2:11" x14ac:dyDescent="0.3">
      <c r="B70" s="1" t="s">
        <v>89</v>
      </c>
      <c r="D70" s="19"/>
      <c r="E70" s="19"/>
      <c r="F70" s="19"/>
      <c r="G70" s="19"/>
      <c r="H70" s="19"/>
      <c r="I70" s="19"/>
      <c r="J70" s="19"/>
      <c r="K70" s="39">
        <f>(K69*(1+D7))/(D6-D7)</f>
        <v>362.36718083372028</v>
      </c>
    </row>
    <row r="71" spans="2:11" x14ac:dyDescent="0.3">
      <c r="B71" s="1" t="s">
        <v>90</v>
      </c>
      <c r="D71" s="19"/>
      <c r="E71" s="20">
        <f>E69/(1+$D$6)^E66</f>
        <v>3.8496715196665203</v>
      </c>
      <c r="F71" s="20">
        <f t="shared" ref="F71:H71" si="16">F69/(1+$D$6)^F66</f>
        <v>3.5281588961473944</v>
      </c>
      <c r="G71" s="20">
        <f t="shared" si="16"/>
        <v>11.783025307389545</v>
      </c>
      <c r="H71" s="20">
        <f t="shared" si="16"/>
        <v>12.88408889935522</v>
      </c>
      <c r="I71" s="20">
        <f t="shared" ref="I71:J71" si="17">I69/(1+$D$6)^I66</f>
        <v>13.756036669058661</v>
      </c>
      <c r="J71" s="20">
        <f t="shared" si="17"/>
        <v>17.680270813511264</v>
      </c>
      <c r="K71" s="20">
        <f>K70/(1+$D$6)^K66</f>
        <v>194.50728301128387</v>
      </c>
    </row>
    <row r="72" spans="2:11" x14ac:dyDescent="0.3">
      <c r="D72" s="19"/>
      <c r="E72" s="20"/>
      <c r="F72" s="19"/>
      <c r="G72" s="19"/>
      <c r="H72" s="19"/>
      <c r="I72" s="19"/>
      <c r="J72" s="19"/>
    </row>
    <row r="73" spans="2:11" x14ac:dyDescent="0.3">
      <c r="E73" s="8"/>
    </row>
    <row r="74" spans="2:11" x14ac:dyDescent="0.3">
      <c r="B74" s="2" t="s">
        <v>84</v>
      </c>
      <c r="C74" s="2"/>
      <c r="D74" s="2"/>
      <c r="E74" s="8"/>
      <c r="F74" s="2" t="s">
        <v>82</v>
      </c>
      <c r="G74" s="2"/>
      <c r="H74" s="2"/>
    </row>
    <row r="75" spans="2:11" x14ac:dyDescent="0.3">
      <c r="B75" s="41" t="s">
        <v>85</v>
      </c>
      <c r="C75" s="41"/>
      <c r="D75" s="42">
        <f>SUM(E71:K71)</f>
        <v>257.98853511641249</v>
      </c>
      <c r="E75" s="8"/>
      <c r="F75" s="1" t="s">
        <v>83</v>
      </c>
      <c r="H75" s="39">
        <f>D12</f>
        <v>672</v>
      </c>
    </row>
    <row r="76" spans="2:11" x14ac:dyDescent="0.3">
      <c r="B76" s="1" t="s">
        <v>98</v>
      </c>
      <c r="D76" s="39">
        <v>0</v>
      </c>
      <c r="E76" s="8"/>
      <c r="F76" s="1" t="s">
        <v>91</v>
      </c>
      <c r="H76" s="38">
        <f>D79-H75</f>
        <v>665.40644168656559</v>
      </c>
    </row>
    <row r="77" spans="2:11" x14ac:dyDescent="0.3">
      <c r="B77" s="41" t="s">
        <v>99</v>
      </c>
      <c r="C77" s="41"/>
      <c r="D77" s="42">
        <f>SUM(D75:D76)</f>
        <v>257.98853511641249</v>
      </c>
      <c r="E77" s="8"/>
      <c r="F77" s="1" t="s">
        <v>92</v>
      </c>
      <c r="H77" s="32">
        <f>1-(H75/D79)</f>
        <v>0.49753494595662351</v>
      </c>
    </row>
    <row r="78" spans="2:11" x14ac:dyDescent="0.3">
      <c r="E78" s="8"/>
      <c r="F78" s="1" t="s">
        <v>93</v>
      </c>
      <c r="H78" s="18">
        <f>D79*0.7</f>
        <v>936.1845091805958</v>
      </c>
    </row>
    <row r="79" spans="2:11" x14ac:dyDescent="0.3">
      <c r="B79" s="1" t="s">
        <v>156</v>
      </c>
      <c r="D79" s="38">
        <f>D77*10^8/summary!D10</f>
        <v>1337.4064416865656</v>
      </c>
      <c r="E79" s="8"/>
    </row>
    <row r="80" spans="2:11" x14ac:dyDescent="0.3">
      <c r="E80" s="8"/>
    </row>
  </sheetData>
  <sheetProtection algorithmName="SHA-512" hashValue="vJGXnDCD45FdlQQ51w2Y7QC+oOfcQdXa/Li8X9Zy9cwrUoynpMAu180LqbaM8/otkpUzg6hbEzWfvLszaGCBAA==" saltValue="0jcNKoD6Seo6WrE1XDM8IQ==" spinCount="100000" sheet="1" formatCells="0" formatColumns="0" formatRows="0" insertColumns="0" insertRows="0" insertHyperlinks="0" deleteColumns="0" deleteRows="0" selectLockedCells="1" sort="0" autoFilter="0" pivotTables="0"/>
  <conditionalFormatting sqref="D1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5A29662-6F5E-4ADD-85CC-82917885C2C5}">
            <xm:f>E$17&gt;cover!$E$13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E22:I34 J25:J32 J22:O23 J28:O28 K26:L27 K29:L29 K25:O25 K30:O32 M29:O31</xm:sqref>
        </x14:conditionalFormatting>
        <x14:conditionalFormatting xmlns:xm="http://schemas.microsoft.com/office/excel/2006/main">
          <x14:cfRule type="expression" priority="1" id="{E1292B6F-5AB6-4C70-9C26-5504FB521D47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E67:K67 E69:K69</xm:sqref>
        </x14:conditionalFormatting>
        <x14:conditionalFormatting xmlns:xm="http://schemas.microsoft.com/office/excel/2006/main">
          <x14:cfRule type="expression" priority="8" id="{24BF3FA8-236E-4ADA-AB2C-5EF0B17F4F9A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E30:L30</xm:sqref>
        </x14:conditionalFormatting>
        <x14:conditionalFormatting xmlns:xm="http://schemas.microsoft.com/office/excel/2006/main">
          <x14:cfRule type="expression" priority="3" id="{96D58A50-5790-4F28-A521-32A5E6A31503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E29:O30</xm:sqref>
        </x14:conditionalFormatting>
        <x14:conditionalFormatting xmlns:xm="http://schemas.microsoft.com/office/excel/2006/main">
          <x14:cfRule type="expression" priority="2" id="{C6A6E849-12B9-4295-A2EA-BB38C6C40A90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M22:O23 M25:O25 M28:O28</xm:sqref>
        </x14:conditionalFormatting>
        <x14:conditionalFormatting xmlns:xm="http://schemas.microsoft.com/office/excel/2006/main">
          <x14:cfRule type="expression" priority="6" id="{6E898FB3-A05E-4545-90D9-B8E13FBC2D3A}">
            <xm:f>K$17&gt;cover!$E$13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M26:O27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1DEE-0ED0-4986-A54B-6168C35D557C}">
  <dimension ref="A1:H6"/>
  <sheetViews>
    <sheetView workbookViewId="0">
      <selection activeCell="D20" sqref="D20"/>
    </sheetView>
  </sheetViews>
  <sheetFormatPr defaultRowHeight="14.4" x14ac:dyDescent="0.3"/>
  <cols>
    <col min="1" max="1" width="17.109375" bestFit="1" customWidth="1"/>
    <col min="2" max="8" width="10.5546875" bestFit="1" customWidth="1"/>
  </cols>
  <sheetData>
    <row r="1" spans="1:8" x14ac:dyDescent="0.3">
      <c r="B1" s="16" t="s">
        <v>172</v>
      </c>
      <c r="C1" s="16" t="s">
        <v>173</v>
      </c>
      <c r="D1" s="16" t="s">
        <v>177</v>
      </c>
      <c r="E1" s="16" t="s">
        <v>174</v>
      </c>
      <c r="F1" s="16" t="s">
        <v>175</v>
      </c>
      <c r="G1" s="16" t="s">
        <v>176</v>
      </c>
      <c r="H1" s="16" t="s">
        <v>178</v>
      </c>
    </row>
    <row r="2" spans="1:8" x14ac:dyDescent="0.3">
      <c r="B2" s="1">
        <v>12</v>
      </c>
      <c r="C2" s="1">
        <v>12</v>
      </c>
      <c r="D2" s="1">
        <v>12</v>
      </c>
      <c r="E2" s="1">
        <v>12</v>
      </c>
      <c r="F2" s="1">
        <v>12</v>
      </c>
      <c r="G2" s="1">
        <v>12</v>
      </c>
      <c r="H2" s="1">
        <v>6</v>
      </c>
    </row>
    <row r="3" spans="1:8" x14ac:dyDescent="0.3">
      <c r="A3" t="s">
        <v>181</v>
      </c>
      <c r="B3" s="78">
        <v>77.3</v>
      </c>
      <c r="C3" s="78">
        <v>106.4</v>
      </c>
      <c r="D3" s="78">
        <v>150.9</v>
      </c>
      <c r="E3" s="78">
        <v>85.2</v>
      </c>
      <c r="F3" s="78">
        <v>166.4</v>
      </c>
      <c r="G3" s="78">
        <v>239.4</v>
      </c>
      <c r="H3" s="78">
        <v>99.1</v>
      </c>
    </row>
    <row r="4" spans="1:8" x14ac:dyDescent="0.3">
      <c r="A4" t="s">
        <v>179</v>
      </c>
      <c r="B4" s="78">
        <f>-30.3/137.5*B3</f>
        <v>-17.034109090909091</v>
      </c>
      <c r="C4" s="78">
        <f>-36.9/23.8*C3</f>
        <v>-164.96470588235294</v>
      </c>
      <c r="D4" s="78">
        <f>-summary!E51/summary!E54*summary!E56</f>
        <v>-172.7618374558304</v>
      </c>
      <c r="E4" s="78">
        <f>-summary!F51/summary!F54*summary!F56</f>
        <v>-174.42572347266884</v>
      </c>
      <c r="F4" s="78">
        <f>-summary!G51/summary!G54*summary!G56</f>
        <v>-269.79999999999984</v>
      </c>
      <c r="G4" s="78">
        <f>-summary!H51/summary!H54*summary!H56</f>
        <v>-26.249999999999996</v>
      </c>
      <c r="H4" s="78">
        <f>-summary!I51/summary!I54*summary!I56</f>
        <v>-198.02789317507418</v>
      </c>
    </row>
    <row r="5" spans="1:8" x14ac:dyDescent="0.3">
      <c r="A5" t="s">
        <v>180</v>
      </c>
      <c r="B5" s="79">
        <f>B3-B4</f>
        <v>94.334109090909095</v>
      </c>
      <c r="C5" s="79">
        <f t="shared" ref="C5:H5" si="0">C3-C4</f>
        <v>271.36470588235295</v>
      </c>
      <c r="D5" s="79">
        <f t="shared" si="0"/>
        <v>323.66183745583044</v>
      </c>
      <c r="E5" s="79">
        <f t="shared" si="0"/>
        <v>259.62572347266882</v>
      </c>
      <c r="F5" s="79">
        <f t="shared" si="0"/>
        <v>436.19999999999982</v>
      </c>
      <c r="G5" s="79">
        <f t="shared" si="0"/>
        <v>265.64999999999998</v>
      </c>
      <c r="H5" s="79">
        <f t="shared" si="0"/>
        <v>297.12789317507418</v>
      </c>
    </row>
    <row r="6" spans="1:8" x14ac:dyDescent="0.3">
      <c r="A6" t="s">
        <v>182</v>
      </c>
      <c r="B6" s="80">
        <f>-B4/B5</f>
        <v>0.18057210965435042</v>
      </c>
      <c r="C6" s="80">
        <f t="shared" ref="C6:H6" si="1">-C4/C5</f>
        <v>0.6079077429983526</v>
      </c>
      <c r="D6" s="80">
        <f t="shared" si="1"/>
        <v>0.53377265238879734</v>
      </c>
      <c r="E6" s="80">
        <f t="shared" si="1"/>
        <v>0.67183529097042993</v>
      </c>
      <c r="F6" s="80">
        <f t="shared" si="1"/>
        <v>0.61852361302154968</v>
      </c>
      <c r="G6" s="80">
        <f t="shared" si="1"/>
        <v>9.8814229249011856E-2</v>
      </c>
      <c r="H6" s="80">
        <f t="shared" si="1"/>
        <v>0.66647358838973714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6CF2-5539-4F76-BA4B-D9CF0619E80B}">
  <dimension ref="A1:I21"/>
  <sheetViews>
    <sheetView workbookViewId="0">
      <selection activeCell="E8" sqref="E8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8" width="12.6640625" style="1" customWidth="1"/>
    <col min="9" max="9" width="14.33203125" style="1" bestFit="1" customWidth="1"/>
    <col min="10" max="50" width="12.6640625" style="1" customWidth="1"/>
    <col min="51" max="16384" width="9.109375" style="1"/>
  </cols>
  <sheetData>
    <row r="1" spans="1:9" ht="33.6" x14ac:dyDescent="0.65">
      <c r="B1" s="46" t="s">
        <v>136</v>
      </c>
    </row>
    <row r="2" spans="1:9" s="15" customFormat="1" ht="15" thickBot="1" x14ac:dyDescent="0.35">
      <c r="A2" s="13"/>
      <c r="B2" s="14" t="str">
        <f>UPPER(cover!E8&amp;" - "&amp;DAY(cover!E12)&amp;"/"&amp;MONTH(cover!E12)&amp;"/"&amp;YEAR(cover!E12))</f>
        <v>SECURE TRUST BANK PLC - 6/4/2023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 t="s">
        <v>0</v>
      </c>
      <c r="B4" s="2" t="s">
        <v>161</v>
      </c>
      <c r="E4" s="4"/>
    </row>
    <row r="6" spans="1:9" x14ac:dyDescent="0.3">
      <c r="B6" s="2" t="s">
        <v>86</v>
      </c>
      <c r="C6" s="3"/>
      <c r="D6" s="3"/>
      <c r="E6" s="4"/>
      <c r="G6" s="2" t="s">
        <v>67</v>
      </c>
      <c r="H6" s="2"/>
      <c r="I6" s="5"/>
    </row>
    <row r="8" spans="1:9" x14ac:dyDescent="0.3">
      <c r="B8" s="1" t="s">
        <v>74</v>
      </c>
      <c r="E8" s="86">
        <v>3.7900000000000003E-2</v>
      </c>
      <c r="G8" s="1" t="s">
        <v>68</v>
      </c>
      <c r="I8" s="34">
        <f>E11</f>
        <v>1.1000000000000001</v>
      </c>
    </row>
    <row r="9" spans="1:9" x14ac:dyDescent="0.3">
      <c r="B9" s="1" t="s">
        <v>75</v>
      </c>
      <c r="E9" s="86">
        <v>6.9699999999999998E-2</v>
      </c>
    </row>
    <row r="10" spans="1:9" x14ac:dyDescent="0.3">
      <c r="B10" s="1" t="s">
        <v>162</v>
      </c>
      <c r="E10" s="86">
        <v>0.25</v>
      </c>
      <c r="G10" s="1" t="s">
        <v>69</v>
      </c>
      <c r="I10" s="37">
        <f>'cost-of-equity'!$E$8</f>
        <v>3.7900000000000003E-2</v>
      </c>
    </row>
    <row r="11" spans="1:9" x14ac:dyDescent="0.3">
      <c r="B11" s="1" t="s">
        <v>163</v>
      </c>
      <c r="E11" s="87">
        <v>1.1000000000000001</v>
      </c>
      <c r="G11" s="1" t="s">
        <v>70</v>
      </c>
      <c r="I11" s="37">
        <f>'cost-of-equity'!$E$9</f>
        <v>6.9699999999999998E-2</v>
      </c>
    </row>
    <row r="12" spans="1:9" x14ac:dyDescent="0.3">
      <c r="B12" s="1" t="s">
        <v>87</v>
      </c>
      <c r="E12" s="86">
        <v>0</v>
      </c>
      <c r="G12" s="1" t="s">
        <v>71</v>
      </c>
      <c r="I12" s="43">
        <f>'cost-of-equity'!$E$12</f>
        <v>0</v>
      </c>
    </row>
    <row r="13" spans="1:9" x14ac:dyDescent="0.3">
      <c r="E13" s="1"/>
      <c r="G13" s="1" t="s">
        <v>72</v>
      </c>
      <c r="I13" s="35">
        <f>I11*I8+I10+I12</f>
        <v>0.11457000000000001</v>
      </c>
    </row>
    <row r="14" spans="1:9" x14ac:dyDescent="0.3">
      <c r="E14" s="1"/>
      <c r="G14" s="1" t="s">
        <v>73</v>
      </c>
      <c r="I14" s="47">
        <f>I13</f>
        <v>0.11457000000000001</v>
      </c>
    </row>
    <row r="15" spans="1:9" x14ac:dyDescent="0.3">
      <c r="E15" s="1"/>
      <c r="I15" s="36"/>
    </row>
    <row r="16" spans="1:9" x14ac:dyDescent="0.3">
      <c r="E16" s="1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</sheetData>
  <sheetProtection algorithmName="SHA-512" hashValue="+5I5puO02nvPG3s+YtvivvBm4vq6tsZmIY1j8j0rZe0A6iQTgzXOlsCChQvL6UKzVjKE6e4g25gdWxBZfWjRvw==" saltValue="UaLCkcfftkVHBdjSWiW3og==" spinCount="100000"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dimension ref="A1:Q100"/>
  <sheetViews>
    <sheetView zoomScale="73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K16" sqref="K16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48" width="12.6640625" style="1" customWidth="1"/>
    <col min="49" max="16384" width="9.109375" style="1"/>
  </cols>
  <sheetData>
    <row r="1" spans="1:15" ht="33.6" x14ac:dyDescent="0.65">
      <c r="B1" s="46" t="s">
        <v>136</v>
      </c>
    </row>
    <row r="2" spans="1:15" s="15" customFormat="1" ht="15" thickBot="1" x14ac:dyDescent="0.35">
      <c r="A2" s="13"/>
      <c r="B2" s="14" t="str">
        <f>UPPER(cover!E8&amp;" - "&amp;DAY(cover!E12)&amp;"/"&amp;MONTH(cover!E12)&amp;"/"&amp;YEAR(cover!E12))</f>
        <v>SECURE TRUST BANK PLC - 6/4/2023</v>
      </c>
      <c r="E2" s="13"/>
    </row>
    <row r="3" spans="1:15" ht="15" thickTop="1" x14ac:dyDescent="0.3">
      <c r="B3" s="25" t="str">
        <f>IF(checks!E10&lt;&gt;0,"**ERROR**","")</f>
        <v/>
      </c>
    </row>
    <row r="4" spans="1:15" s="3" customFormat="1" x14ac:dyDescent="0.3">
      <c r="A4" s="5" t="s">
        <v>0</v>
      </c>
      <c r="B4" s="2" t="s">
        <v>16</v>
      </c>
      <c r="D4" s="5" t="str">
        <f>cover!$E$10</f>
        <v>£m</v>
      </c>
      <c r="E4" s="4"/>
    </row>
    <row r="6" spans="1:15" x14ac:dyDescent="0.3">
      <c r="B6" s="1" t="s">
        <v>18</v>
      </c>
      <c r="E6" s="16">
        <v>43465</v>
      </c>
      <c r="F6" s="16">
        <f>EOMONTH(E6,F7)</f>
        <v>43830</v>
      </c>
      <c r="G6" s="16">
        <f t="shared" ref="G6:O6" si="0">EOMONTH(F6,G7)</f>
        <v>44196</v>
      </c>
      <c r="H6" s="16">
        <f t="shared" si="0"/>
        <v>44561</v>
      </c>
      <c r="I6" s="16">
        <f t="shared" si="0"/>
        <v>44926</v>
      </c>
      <c r="J6" s="16">
        <f t="shared" si="0"/>
        <v>45291</v>
      </c>
      <c r="K6" s="16">
        <f t="shared" si="0"/>
        <v>45657</v>
      </c>
      <c r="L6" s="16">
        <f t="shared" si="0"/>
        <v>46022</v>
      </c>
      <c r="M6" s="16">
        <f t="shared" si="0"/>
        <v>46387</v>
      </c>
      <c r="N6" s="16">
        <f t="shared" si="0"/>
        <v>46752</v>
      </c>
      <c r="O6" s="16">
        <f t="shared" si="0"/>
        <v>47118</v>
      </c>
    </row>
    <row r="7" spans="1:15" x14ac:dyDescent="0.3">
      <c r="B7" s="1" t="s">
        <v>45</v>
      </c>
      <c r="E7" s="1">
        <v>12</v>
      </c>
      <c r="F7" s="1">
        <v>12</v>
      </c>
      <c r="G7" s="1">
        <v>12</v>
      </c>
      <c r="H7" s="1">
        <v>12</v>
      </c>
      <c r="I7" s="1">
        <v>12</v>
      </c>
      <c r="J7" s="1">
        <v>12</v>
      </c>
      <c r="K7" s="1">
        <v>12</v>
      </c>
      <c r="L7" s="1">
        <v>12</v>
      </c>
      <c r="M7" s="1">
        <v>12</v>
      </c>
      <c r="N7" s="1">
        <v>12</v>
      </c>
      <c r="O7" s="1">
        <v>12</v>
      </c>
    </row>
    <row r="10" spans="1:15" x14ac:dyDescent="0.3">
      <c r="B10" s="2" t="s">
        <v>40</v>
      </c>
      <c r="C10" s="3"/>
      <c r="D10" s="3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</row>
    <row r="12" spans="1:15" x14ac:dyDescent="0.3">
      <c r="B12" s="1" t="s">
        <v>17</v>
      </c>
      <c r="E12" s="24">
        <v>169.7</v>
      </c>
      <c r="F12" s="24">
        <v>105.8</v>
      </c>
      <c r="G12" s="24">
        <v>181.5</v>
      </c>
      <c r="H12" s="24">
        <v>235.7</v>
      </c>
      <c r="I12" s="24">
        <v>370.1</v>
      </c>
      <c r="J12" s="24">
        <f>I12+J92</f>
        <v>356.10947954349496</v>
      </c>
      <c r="K12" s="24">
        <f>K95</f>
        <v>251.7390838970079</v>
      </c>
      <c r="L12" s="24">
        <f>L95</f>
        <v>304.40126374077698</v>
      </c>
      <c r="M12" s="24">
        <f t="shared" ref="M12:O12" si="1">M95</f>
        <v>332.01415578465111</v>
      </c>
      <c r="N12" s="24">
        <f t="shared" si="1"/>
        <v>332.18107742771451</v>
      </c>
      <c r="O12" s="24">
        <f t="shared" si="1"/>
        <v>342.69281244044475</v>
      </c>
    </row>
    <row r="13" spans="1:15" x14ac:dyDescent="0.3">
      <c r="B13" s="1" t="s">
        <v>110</v>
      </c>
      <c r="E13" s="24">
        <v>1980.3</v>
      </c>
      <c r="F13" s="24">
        <v>2450.1</v>
      </c>
      <c r="G13" s="24">
        <v>2358.9</v>
      </c>
      <c r="H13" s="24">
        <v>2530.6</v>
      </c>
      <c r="I13" s="24">
        <v>2919.5</v>
      </c>
      <c r="J13" s="24">
        <f>I13*(1+summary!J22*J7/12)</f>
        <v>3065.4749999999999</v>
      </c>
      <c r="K13" s="24">
        <f>J13*(1+summary!K22*K7/12)</f>
        <v>2912.2012499999996</v>
      </c>
      <c r="L13" s="24">
        <f>K13*(1+summary!L22*L7/12)</f>
        <v>2970.4452749999996</v>
      </c>
      <c r="M13" s="24">
        <f>L13*(1+summary!M22*M7/12)</f>
        <v>3029.8541804999995</v>
      </c>
      <c r="N13" s="24">
        <f>M13*(1+summary!N22*N7/12)</f>
        <v>3090.4512641099996</v>
      </c>
      <c r="O13" s="24">
        <f>N13*(1+summary!O22*O7/12)</f>
        <v>3105.9035204305492</v>
      </c>
    </row>
    <row r="14" spans="1:15" x14ac:dyDescent="0.3">
      <c r="B14" s="1" t="s">
        <v>111</v>
      </c>
      <c r="E14" s="24">
        <v>41.9</v>
      </c>
      <c r="F14" s="24">
        <v>48.4</v>
      </c>
      <c r="G14" s="24">
        <v>63.3</v>
      </c>
      <c r="H14" s="24">
        <v>50.3</v>
      </c>
      <c r="I14" s="24">
        <v>50.5</v>
      </c>
      <c r="J14" s="24">
        <f t="shared" ref="J14:J20" si="2">I14</f>
        <v>50.5</v>
      </c>
      <c r="K14" s="24">
        <f t="shared" ref="K14:O14" si="3">J14</f>
        <v>50.5</v>
      </c>
      <c r="L14" s="24">
        <f t="shared" si="3"/>
        <v>50.5</v>
      </c>
      <c r="M14" s="24">
        <f t="shared" si="3"/>
        <v>50.5</v>
      </c>
      <c r="N14" s="24">
        <f t="shared" si="3"/>
        <v>50.5</v>
      </c>
      <c r="O14" s="24">
        <f t="shared" si="3"/>
        <v>50.5</v>
      </c>
    </row>
    <row r="15" spans="1:15" x14ac:dyDescent="0.3">
      <c r="B15" s="1" t="s">
        <v>19</v>
      </c>
      <c r="E15" s="24">
        <v>0</v>
      </c>
      <c r="F15" s="24">
        <v>0</v>
      </c>
      <c r="G15" s="24">
        <v>0</v>
      </c>
      <c r="H15" s="24">
        <v>0.8</v>
      </c>
      <c r="I15" s="24">
        <v>0</v>
      </c>
      <c r="J15" s="24">
        <f t="shared" si="2"/>
        <v>0</v>
      </c>
      <c r="K15" s="24">
        <f t="shared" ref="K15:O15" si="4">J15</f>
        <v>0</v>
      </c>
      <c r="L15" s="24">
        <f t="shared" si="4"/>
        <v>0</v>
      </c>
      <c r="M15" s="24">
        <f t="shared" si="4"/>
        <v>0</v>
      </c>
      <c r="N15" s="24">
        <f t="shared" si="4"/>
        <v>0</v>
      </c>
      <c r="O15" s="24">
        <f t="shared" si="4"/>
        <v>0</v>
      </c>
    </row>
    <row r="16" spans="1:15" x14ac:dyDescent="0.3">
      <c r="B16" s="1" t="s">
        <v>20</v>
      </c>
      <c r="E16" s="24">
        <v>7.8</v>
      </c>
      <c r="F16" s="24">
        <v>7.5</v>
      </c>
      <c r="G16" s="24">
        <v>5.9</v>
      </c>
      <c r="H16" s="24">
        <v>6.9</v>
      </c>
      <c r="I16" s="24">
        <v>5.5</v>
      </c>
      <c r="J16" s="24">
        <f t="shared" si="2"/>
        <v>5.5</v>
      </c>
      <c r="K16" s="24">
        <f t="shared" ref="K16:O16" si="5">J16</f>
        <v>5.5</v>
      </c>
      <c r="L16" s="24">
        <f t="shared" si="5"/>
        <v>5.5</v>
      </c>
      <c r="M16" s="24">
        <f t="shared" si="5"/>
        <v>5.5</v>
      </c>
      <c r="N16" s="24">
        <f t="shared" si="5"/>
        <v>5.5</v>
      </c>
      <c r="O16" s="24">
        <f t="shared" si="5"/>
        <v>5.5</v>
      </c>
    </row>
    <row r="17" spans="2:15" x14ac:dyDescent="0.3">
      <c r="B17" s="1" t="s">
        <v>112</v>
      </c>
      <c r="E17" s="24">
        <f>149.7+3.9</f>
        <v>153.6</v>
      </c>
      <c r="F17" s="24">
        <f>0.9-0.9+25</f>
        <v>25</v>
      </c>
      <c r="G17" s="24">
        <f>4.8+5.7</f>
        <v>10.5</v>
      </c>
      <c r="H17" s="24">
        <f>3.8-3.5+25</f>
        <v>25.3</v>
      </c>
      <c r="I17" s="24">
        <f>34.9-32</f>
        <v>2.8999999999999986</v>
      </c>
      <c r="J17" s="24">
        <f t="shared" si="2"/>
        <v>2.8999999999999986</v>
      </c>
      <c r="K17" s="24">
        <f t="shared" ref="K17:O18" si="6">J17</f>
        <v>2.8999999999999986</v>
      </c>
      <c r="L17" s="24">
        <f t="shared" si="6"/>
        <v>2.8999999999999986</v>
      </c>
      <c r="M17" s="24">
        <f t="shared" si="6"/>
        <v>2.8999999999999986</v>
      </c>
      <c r="N17" s="24">
        <f t="shared" si="6"/>
        <v>2.8999999999999986</v>
      </c>
      <c r="O17" s="24">
        <f t="shared" si="6"/>
        <v>2.8999999999999986</v>
      </c>
    </row>
    <row r="18" spans="2:15" x14ac:dyDescent="0.3">
      <c r="B18" s="1" t="s">
        <v>21</v>
      </c>
      <c r="E18" s="24">
        <v>6</v>
      </c>
      <c r="F18" s="24">
        <f>4.8+11.3+3.6</f>
        <v>19.700000000000003</v>
      </c>
      <c r="G18" s="24">
        <f>4.3+9.9+2.9</f>
        <v>17.099999999999998</v>
      </c>
      <c r="H18" s="24">
        <f>9.3+2.2+4.7</f>
        <v>16.2</v>
      </c>
      <c r="I18" s="24">
        <f>10.3+1.5</f>
        <v>11.8</v>
      </c>
      <c r="J18" s="24">
        <f t="shared" si="2"/>
        <v>11.8</v>
      </c>
      <c r="K18" s="24">
        <f t="shared" si="6"/>
        <v>11.8</v>
      </c>
      <c r="L18" s="24">
        <f t="shared" si="6"/>
        <v>11.8</v>
      </c>
      <c r="M18" s="24">
        <f t="shared" si="6"/>
        <v>11.8</v>
      </c>
      <c r="N18" s="24">
        <f t="shared" si="6"/>
        <v>11.8</v>
      </c>
      <c r="O18" s="24">
        <f t="shared" si="6"/>
        <v>11.8</v>
      </c>
    </row>
    <row r="19" spans="2:15" x14ac:dyDescent="0.3">
      <c r="B19" s="1" t="s">
        <v>23</v>
      </c>
      <c r="E19" s="24">
        <v>8.1</v>
      </c>
      <c r="F19" s="24">
        <v>9</v>
      </c>
      <c r="G19" s="24">
        <f>7.7</f>
        <v>7.7</v>
      </c>
      <c r="H19" s="24">
        <f>6.9</f>
        <v>6.9</v>
      </c>
      <c r="I19" s="24">
        <v>6.6</v>
      </c>
      <c r="J19" s="24">
        <f t="shared" si="2"/>
        <v>6.6</v>
      </c>
      <c r="K19" s="24">
        <f t="shared" ref="K19:O19" si="7">J19</f>
        <v>6.6</v>
      </c>
      <c r="L19" s="24">
        <f t="shared" si="7"/>
        <v>6.6</v>
      </c>
      <c r="M19" s="24">
        <f t="shared" si="7"/>
        <v>6.6</v>
      </c>
      <c r="N19" s="24">
        <f t="shared" si="7"/>
        <v>6.6</v>
      </c>
      <c r="O19" s="24">
        <f t="shared" si="7"/>
        <v>6.6</v>
      </c>
    </row>
    <row r="20" spans="2:15" x14ac:dyDescent="0.3">
      <c r="B20" s="1" t="s">
        <v>113</v>
      </c>
      <c r="E20" s="24">
        <v>65.599999999999994</v>
      </c>
      <c r="F20" s="24">
        <f>17.3</f>
        <v>17.3</v>
      </c>
      <c r="G20" s="24">
        <f>19.2</f>
        <v>19.2</v>
      </c>
      <c r="H20" s="24">
        <f>11.9+1.3</f>
        <v>13.200000000000001</v>
      </c>
      <c r="I20" s="24">
        <v>13.4</v>
      </c>
      <c r="J20" s="24">
        <f t="shared" si="2"/>
        <v>13.4</v>
      </c>
      <c r="K20" s="24">
        <f t="shared" ref="K20:O20" si="8">J20</f>
        <v>13.4</v>
      </c>
      <c r="L20" s="24">
        <f t="shared" si="8"/>
        <v>13.4</v>
      </c>
      <c r="M20" s="24">
        <f t="shared" si="8"/>
        <v>13.4</v>
      </c>
      <c r="N20" s="24">
        <f t="shared" si="8"/>
        <v>13.4</v>
      </c>
      <c r="O20" s="24">
        <f t="shared" si="8"/>
        <v>13.4</v>
      </c>
    </row>
    <row r="21" spans="2:15" ht="15" thickBot="1" x14ac:dyDescent="0.35">
      <c r="B21" s="17" t="s">
        <v>22</v>
      </c>
      <c r="C21" s="17"/>
      <c r="D21" s="17"/>
      <c r="E21" s="26">
        <f>SUM(E12:E20)</f>
        <v>2433</v>
      </c>
      <c r="F21" s="26">
        <f t="shared" ref="F21:J21" si="9">SUM(F12:F20)</f>
        <v>2682.8</v>
      </c>
      <c r="G21" s="26">
        <f t="shared" si="9"/>
        <v>2664.1</v>
      </c>
      <c r="H21" s="26">
        <f t="shared" si="9"/>
        <v>2885.9</v>
      </c>
      <c r="I21" s="26">
        <f t="shared" si="9"/>
        <v>3380.3</v>
      </c>
      <c r="J21" s="26">
        <f t="shared" si="9"/>
        <v>3512.2844795434953</v>
      </c>
      <c r="K21" s="26">
        <f t="shared" ref="K21" si="10">SUM(K12:K20)</f>
        <v>3254.6403338970076</v>
      </c>
      <c r="L21" s="26">
        <f t="shared" ref="L21" si="11">SUM(L12:L20)</f>
        <v>3365.5465387407767</v>
      </c>
      <c r="M21" s="26">
        <f t="shared" ref="M21" si="12">SUM(M12:M20)</f>
        <v>3452.5683362846507</v>
      </c>
      <c r="N21" s="26">
        <f t="shared" ref="N21" si="13">SUM(N12:N20)</f>
        <v>3513.3323415377145</v>
      </c>
      <c r="O21" s="26">
        <f t="shared" ref="O21" si="14">SUM(O12:O20)</f>
        <v>3539.2963328709943</v>
      </c>
    </row>
    <row r="22" spans="2:15" ht="15" thickTop="1" x14ac:dyDescent="0.3"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2:15" x14ac:dyDescent="0.3">
      <c r="B23" s="1" t="s">
        <v>114</v>
      </c>
      <c r="E23" s="24">
        <v>1847.7</v>
      </c>
      <c r="F23" s="24">
        <v>2020.3</v>
      </c>
      <c r="G23" s="24">
        <v>1992.5</v>
      </c>
      <c r="H23" s="24">
        <v>2103.1999999999998</v>
      </c>
      <c r="I23" s="24">
        <v>2514.6</v>
      </c>
      <c r="J23" s="24">
        <f>I23*(1+summary!J23*'detailed-financials'!J7/12)</f>
        <v>2640.33</v>
      </c>
      <c r="K23" s="24">
        <f>J23*(1+summary!K23*'detailed-financials'!K7/12)</f>
        <v>2376.297</v>
      </c>
      <c r="L23" s="24">
        <f>K23*(1+summary!L23*'detailed-financials'!L7/12)</f>
        <v>2471.34888</v>
      </c>
      <c r="M23" s="24">
        <f>L23*(1+summary!M23*'detailed-financials'!M7/12)</f>
        <v>2545.4893464000002</v>
      </c>
      <c r="N23" s="24">
        <f>M23*(1+summary!N23*'detailed-financials'!N7/12)</f>
        <v>2596.3991333280001</v>
      </c>
      <c r="O23" s="24">
        <f>N23*(1+summary!O23*'detailed-financials'!O7/12)</f>
        <v>2622.3631246612799</v>
      </c>
    </row>
    <row r="24" spans="2:15" x14ac:dyDescent="0.3">
      <c r="B24" s="1" t="s">
        <v>115</v>
      </c>
      <c r="E24" s="24">
        <v>263.5</v>
      </c>
      <c r="F24" s="24">
        <v>308.5</v>
      </c>
      <c r="G24" s="24">
        <v>276.39999999999998</v>
      </c>
      <c r="H24" s="24">
        <v>390.8</v>
      </c>
      <c r="I24" s="24">
        <v>400.5</v>
      </c>
      <c r="J24" s="24">
        <f t="shared" ref="J24:J29" si="15">I24</f>
        <v>400.5</v>
      </c>
      <c r="K24" s="24">
        <f t="shared" ref="K24:O24" si="16">J24</f>
        <v>400.5</v>
      </c>
      <c r="L24" s="24">
        <f t="shared" si="16"/>
        <v>400.5</v>
      </c>
      <c r="M24" s="24">
        <f t="shared" si="16"/>
        <v>400.5</v>
      </c>
      <c r="N24" s="24">
        <f t="shared" si="16"/>
        <v>400.5</v>
      </c>
      <c r="O24" s="24">
        <f t="shared" si="16"/>
        <v>400.5</v>
      </c>
    </row>
    <row r="25" spans="2:15" x14ac:dyDescent="0.3">
      <c r="B25" s="1" t="s">
        <v>25</v>
      </c>
      <c r="E25" s="24">
        <v>3.6</v>
      </c>
      <c r="F25" s="24">
        <v>3.3</v>
      </c>
      <c r="G25" s="24">
        <v>1</v>
      </c>
      <c r="H25" s="24">
        <v>0</v>
      </c>
      <c r="I25" s="24">
        <v>0.8</v>
      </c>
      <c r="J25" s="24">
        <f t="shared" si="15"/>
        <v>0.8</v>
      </c>
      <c r="K25" s="24">
        <f t="shared" ref="K25:O25" si="17">J25</f>
        <v>0.8</v>
      </c>
      <c r="L25" s="24">
        <f t="shared" si="17"/>
        <v>0.8</v>
      </c>
      <c r="M25" s="24">
        <f t="shared" si="17"/>
        <v>0.8</v>
      </c>
      <c r="N25" s="24">
        <f t="shared" si="17"/>
        <v>0.8</v>
      </c>
      <c r="O25" s="24">
        <f t="shared" si="17"/>
        <v>0.8</v>
      </c>
    </row>
    <row r="26" spans="2:15" x14ac:dyDescent="0.3">
      <c r="B26" s="1" t="s">
        <v>26</v>
      </c>
      <c r="E26" s="24"/>
      <c r="F26" s="24">
        <v>0</v>
      </c>
      <c r="G26" s="24">
        <v>0</v>
      </c>
      <c r="H26" s="24">
        <v>0</v>
      </c>
      <c r="I26" s="24">
        <v>0</v>
      </c>
      <c r="J26" s="24">
        <f t="shared" si="15"/>
        <v>0</v>
      </c>
      <c r="K26" s="24">
        <f t="shared" ref="K26:O27" si="18">J26</f>
        <v>0</v>
      </c>
      <c r="L26" s="24">
        <f t="shared" si="18"/>
        <v>0</v>
      </c>
      <c r="M26" s="24">
        <f t="shared" si="18"/>
        <v>0</v>
      </c>
      <c r="N26" s="24">
        <f t="shared" si="18"/>
        <v>0</v>
      </c>
      <c r="O26" s="24">
        <f t="shared" si="18"/>
        <v>0</v>
      </c>
    </row>
    <row r="27" spans="2:15" x14ac:dyDescent="0.3">
      <c r="B27" s="1" t="s">
        <v>116</v>
      </c>
      <c r="E27" s="24"/>
      <c r="F27" s="24">
        <v>0</v>
      </c>
      <c r="G27" s="24">
        <v>0</v>
      </c>
      <c r="H27" s="24">
        <v>0</v>
      </c>
      <c r="I27" s="24">
        <v>0</v>
      </c>
      <c r="J27" s="24">
        <f t="shared" si="15"/>
        <v>0</v>
      </c>
      <c r="K27" s="24">
        <f t="shared" si="18"/>
        <v>0</v>
      </c>
      <c r="L27" s="24">
        <f t="shared" si="18"/>
        <v>0</v>
      </c>
      <c r="M27" s="24">
        <f t="shared" si="18"/>
        <v>0</v>
      </c>
      <c r="N27" s="24">
        <f t="shared" si="18"/>
        <v>0</v>
      </c>
      <c r="O27" s="24">
        <f t="shared" si="18"/>
        <v>0</v>
      </c>
    </row>
    <row r="28" spans="2:15" x14ac:dyDescent="0.3">
      <c r="B28" s="1" t="s">
        <v>118</v>
      </c>
      <c r="E28" s="24">
        <v>0</v>
      </c>
      <c r="F28" s="24">
        <f>-0.7+0.6+4.5</f>
        <v>4.4000000000000004</v>
      </c>
      <c r="G28" s="24">
        <f>3.9+4.7+6.1</f>
        <v>14.7</v>
      </c>
      <c r="H28" s="24">
        <f>6.2-5.3+3.1</f>
        <v>4</v>
      </c>
      <c r="I28" s="24">
        <f>26.7-23+2.1</f>
        <v>5.7999999999999989</v>
      </c>
      <c r="J28" s="24">
        <f t="shared" si="15"/>
        <v>5.7999999999999989</v>
      </c>
      <c r="K28" s="24">
        <f t="shared" ref="K28" si="19">J28</f>
        <v>5.7999999999999989</v>
      </c>
      <c r="L28" s="24">
        <f t="shared" ref="L28" si="20">K28</f>
        <v>5.7999999999999989</v>
      </c>
      <c r="M28" s="24">
        <f t="shared" ref="M28" si="21">L28</f>
        <v>5.7999999999999989</v>
      </c>
      <c r="N28" s="24">
        <f t="shared" ref="N28" si="22">M28</f>
        <v>5.7999999999999989</v>
      </c>
      <c r="O28" s="24">
        <f t="shared" ref="O28" si="23">N28</f>
        <v>5.7999999999999989</v>
      </c>
    </row>
    <row r="29" spans="2:15" x14ac:dyDescent="0.3">
      <c r="B29" s="1" t="s">
        <v>117</v>
      </c>
      <c r="E29" s="24">
        <f>49.1+1.3+50.4</f>
        <v>100.8</v>
      </c>
      <c r="F29" s="24">
        <f>50.6+0.7+40.9</f>
        <v>92.2</v>
      </c>
      <c r="G29" s="24">
        <f>50.8+1.9+56.3</f>
        <v>109</v>
      </c>
      <c r="H29" s="24">
        <f>50.9+1.3+31.3+2</f>
        <v>85.5</v>
      </c>
      <c r="I29" s="24">
        <f>51.1+2.5+78.1</f>
        <v>131.69999999999999</v>
      </c>
      <c r="J29" s="24">
        <f t="shared" si="15"/>
        <v>131.69999999999999</v>
      </c>
      <c r="K29" s="24">
        <f t="shared" ref="K29:O29" si="24">J29</f>
        <v>131.69999999999999</v>
      </c>
      <c r="L29" s="24">
        <f t="shared" si="24"/>
        <v>131.69999999999999</v>
      </c>
      <c r="M29" s="24">
        <f t="shared" si="24"/>
        <v>131.69999999999999</v>
      </c>
      <c r="N29" s="24">
        <f t="shared" si="24"/>
        <v>131.69999999999999</v>
      </c>
      <c r="O29" s="24">
        <f t="shared" si="24"/>
        <v>131.69999999999999</v>
      </c>
    </row>
    <row r="30" spans="2:15" ht="15" thickBot="1" x14ac:dyDescent="0.35">
      <c r="B30" s="17" t="s">
        <v>24</v>
      </c>
      <c r="C30" s="17"/>
      <c r="D30" s="17"/>
      <c r="E30" s="26">
        <f>SUM(E23:E29)</f>
        <v>2215.6</v>
      </c>
      <c r="F30" s="26">
        <f>SUM(F23:F29)</f>
        <v>2428.7000000000003</v>
      </c>
      <c r="G30" s="26">
        <f t="shared" ref="G30:L30" si="25">SUM(G23:G29)</f>
        <v>2393.6</v>
      </c>
      <c r="H30" s="26">
        <f t="shared" si="25"/>
        <v>2583.5</v>
      </c>
      <c r="I30" s="26">
        <f t="shared" si="25"/>
        <v>3053.4</v>
      </c>
      <c r="J30" s="26">
        <f t="shared" si="25"/>
        <v>3179.13</v>
      </c>
      <c r="K30" s="26">
        <f t="shared" si="25"/>
        <v>2915.0970000000002</v>
      </c>
      <c r="L30" s="26">
        <f t="shared" si="25"/>
        <v>3010.1488800000002</v>
      </c>
      <c r="M30" s="26">
        <f t="shared" ref="M30" si="26">SUM(M23:M29)</f>
        <v>3084.2893464000003</v>
      </c>
      <c r="N30" s="26">
        <f t="shared" ref="N30" si="27">SUM(N23:N29)</f>
        <v>3135.1991333280002</v>
      </c>
      <c r="O30" s="26">
        <f t="shared" ref="O30" si="28">SUM(O23:O29)</f>
        <v>3161.1631246612801</v>
      </c>
    </row>
    <row r="31" spans="2:15" ht="15" thickTop="1" x14ac:dyDescent="0.3"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2:15" ht="15" thickBot="1" x14ac:dyDescent="0.35">
      <c r="B32" s="17" t="s">
        <v>27</v>
      </c>
      <c r="C32" s="17"/>
      <c r="D32" s="17"/>
      <c r="E32" s="26">
        <f t="shared" ref="E32:L32" si="29">E21-E30</f>
        <v>217.40000000000009</v>
      </c>
      <c r="F32" s="26">
        <f t="shared" si="29"/>
        <v>254.09999999999991</v>
      </c>
      <c r="G32" s="26">
        <f t="shared" si="29"/>
        <v>270.5</v>
      </c>
      <c r="H32" s="26">
        <f t="shared" si="29"/>
        <v>302.40000000000009</v>
      </c>
      <c r="I32" s="26">
        <f t="shared" si="29"/>
        <v>326.90000000000009</v>
      </c>
      <c r="J32" s="26">
        <f t="shared" si="29"/>
        <v>333.1544795434952</v>
      </c>
      <c r="K32" s="26">
        <f t="shared" si="29"/>
        <v>339.54333389700741</v>
      </c>
      <c r="L32" s="26">
        <f t="shared" si="29"/>
        <v>355.39765874077648</v>
      </c>
      <c r="M32" s="26">
        <f t="shared" ref="M32:O32" si="30">M21-M30</f>
        <v>368.2789898846504</v>
      </c>
      <c r="N32" s="26">
        <f t="shared" si="30"/>
        <v>378.13320820971421</v>
      </c>
      <c r="O32" s="26">
        <f t="shared" si="30"/>
        <v>378.13320820971421</v>
      </c>
    </row>
    <row r="33" spans="2:15" ht="15" thickTop="1" x14ac:dyDescent="0.3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3">
      <c r="B34" s="1" t="s">
        <v>28</v>
      </c>
      <c r="E34" s="24">
        <f>7.4+81.2</f>
        <v>88.600000000000009</v>
      </c>
      <c r="F34" s="24">
        <f>7.4+81.2</f>
        <v>88.600000000000009</v>
      </c>
      <c r="G34" s="24">
        <f t="shared" ref="G34:H34" si="31">7.5+82.2</f>
        <v>89.7</v>
      </c>
      <c r="H34" s="24">
        <f t="shared" si="31"/>
        <v>89.7</v>
      </c>
      <c r="I34" s="24">
        <f>7.5+82.2</f>
        <v>89.7</v>
      </c>
      <c r="J34" s="24">
        <f>I34</f>
        <v>89.7</v>
      </c>
      <c r="K34" s="24">
        <f t="shared" ref="K34:O34" si="32">J34</f>
        <v>89.7</v>
      </c>
      <c r="L34" s="24">
        <f t="shared" si="32"/>
        <v>89.7</v>
      </c>
      <c r="M34" s="24">
        <f t="shared" si="32"/>
        <v>89.7</v>
      </c>
      <c r="N34" s="24">
        <f t="shared" si="32"/>
        <v>89.7</v>
      </c>
      <c r="O34" s="24">
        <f t="shared" si="32"/>
        <v>89.7</v>
      </c>
    </row>
    <row r="35" spans="2:15" x14ac:dyDescent="0.3">
      <c r="B35" s="1" t="s">
        <v>29</v>
      </c>
      <c r="E35" s="24">
        <v>128.19999999999999</v>
      </c>
      <c r="F35" s="24">
        <v>164.4</v>
      </c>
      <c r="G35" s="24">
        <v>179.9</v>
      </c>
      <c r="H35" s="24">
        <v>211.7</v>
      </c>
      <c r="I35" s="24">
        <v>237.5</v>
      </c>
      <c r="J35" s="24">
        <f>I35+J60+J86</f>
        <v>243.75447954349482</v>
      </c>
      <c r="K35" s="24">
        <f>J35+K60+K86</f>
        <v>250.14333389700735</v>
      </c>
      <c r="L35" s="24">
        <f t="shared" ref="L35:O35" si="33">K35+L60+L86</f>
        <v>265.99765874077639</v>
      </c>
      <c r="M35" s="24">
        <f t="shared" si="33"/>
        <v>278.87898988465031</v>
      </c>
      <c r="N35" s="24">
        <f t="shared" si="33"/>
        <v>288.73320820971384</v>
      </c>
      <c r="O35" s="24">
        <f t="shared" si="33"/>
        <v>288.73320820971384</v>
      </c>
    </row>
    <row r="36" spans="2:15" x14ac:dyDescent="0.3">
      <c r="B36" s="1" t="s">
        <v>30</v>
      </c>
      <c r="E36" s="24">
        <v>0.6</v>
      </c>
      <c r="F36" s="24">
        <v>1.1000000000000001</v>
      </c>
      <c r="G36" s="24">
        <v>0.9</v>
      </c>
      <c r="H36" s="24">
        <f>1.3-0.3</f>
        <v>1</v>
      </c>
      <c r="I36" s="24">
        <v>-0.3</v>
      </c>
      <c r="J36" s="24">
        <f>I36</f>
        <v>-0.3</v>
      </c>
      <c r="K36" s="24">
        <f t="shared" ref="K36:O36" si="34">J36</f>
        <v>-0.3</v>
      </c>
      <c r="L36" s="24">
        <f t="shared" si="34"/>
        <v>-0.3</v>
      </c>
      <c r="M36" s="24">
        <f t="shared" si="34"/>
        <v>-0.3</v>
      </c>
      <c r="N36" s="24">
        <f t="shared" si="34"/>
        <v>-0.3</v>
      </c>
      <c r="O36" s="24">
        <f t="shared" si="34"/>
        <v>-0.3</v>
      </c>
    </row>
    <row r="37" spans="2:15" ht="15" thickBot="1" x14ac:dyDescent="0.35">
      <c r="B37" s="17" t="s">
        <v>31</v>
      </c>
      <c r="C37" s="17"/>
      <c r="D37" s="17"/>
      <c r="E37" s="26">
        <f>SUM(E34:E36)</f>
        <v>217.4</v>
      </c>
      <c r="F37" s="26">
        <f t="shared" ref="F37:L37" si="35">SUM(F34:F36)</f>
        <v>254.1</v>
      </c>
      <c r="G37" s="26">
        <f t="shared" si="35"/>
        <v>270.5</v>
      </c>
      <c r="H37" s="26">
        <f t="shared" si="35"/>
        <v>302.39999999999998</v>
      </c>
      <c r="I37" s="26">
        <f t="shared" si="35"/>
        <v>326.89999999999998</v>
      </c>
      <c r="J37" s="26">
        <f>SUM(J34:J36)</f>
        <v>333.1544795434948</v>
      </c>
      <c r="K37" s="26">
        <f>SUM(K34:K36)</f>
        <v>339.54333389700736</v>
      </c>
      <c r="L37" s="26">
        <f t="shared" si="35"/>
        <v>355.39765874077636</v>
      </c>
      <c r="M37" s="26">
        <f t="shared" ref="M37" si="36">SUM(M34:M36)</f>
        <v>368.27898988465029</v>
      </c>
      <c r="N37" s="26">
        <f t="shared" ref="N37" si="37">SUM(N34:N36)</f>
        <v>378.13320820971381</v>
      </c>
      <c r="O37" s="26">
        <f t="shared" ref="O37" si="38">SUM(O34:O36)</f>
        <v>378.13320820971381</v>
      </c>
    </row>
    <row r="38" spans="2:15" ht="15" thickTop="1" x14ac:dyDescent="0.3">
      <c r="B38" s="1" t="s">
        <v>32</v>
      </c>
      <c r="E38" s="24"/>
      <c r="F38" s="24"/>
      <c r="G38" s="24"/>
      <c r="H38" s="24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</row>
    <row r="39" spans="2:15" x14ac:dyDescent="0.3">
      <c r="B39" s="1" t="s">
        <v>95</v>
      </c>
      <c r="E39" s="24"/>
      <c r="F39" s="24"/>
      <c r="G39" s="24"/>
      <c r="H39" s="24"/>
      <c r="I39" s="24">
        <v>0</v>
      </c>
      <c r="J39" s="24">
        <f>I39</f>
        <v>0</v>
      </c>
      <c r="K39" s="24">
        <f t="shared" ref="K39:O39" si="39">J39</f>
        <v>0</v>
      </c>
      <c r="L39" s="24">
        <f t="shared" si="39"/>
        <v>0</v>
      </c>
      <c r="M39" s="24">
        <f t="shared" si="39"/>
        <v>0</v>
      </c>
      <c r="N39" s="24">
        <f t="shared" si="39"/>
        <v>0</v>
      </c>
      <c r="O39" s="24">
        <f t="shared" si="39"/>
        <v>0</v>
      </c>
    </row>
    <row r="40" spans="2:15" ht="15" thickBot="1" x14ac:dyDescent="0.35">
      <c r="B40" s="17" t="s">
        <v>33</v>
      </c>
      <c r="C40" s="17"/>
      <c r="D40" s="17"/>
      <c r="E40" s="26">
        <f t="shared" ref="E40:H40" si="40">SUM(E37:E39)</f>
        <v>217.4</v>
      </c>
      <c r="F40" s="26">
        <f t="shared" si="40"/>
        <v>254.1</v>
      </c>
      <c r="G40" s="26">
        <f t="shared" si="40"/>
        <v>270.5</v>
      </c>
      <c r="H40" s="26">
        <f t="shared" si="40"/>
        <v>302.39999999999998</v>
      </c>
      <c r="I40" s="26">
        <f>SUM(I37:I39)</f>
        <v>326.89999999999998</v>
      </c>
      <c r="J40" s="26">
        <f t="shared" ref="J40:O40" si="41">SUM(J37:J39)</f>
        <v>333.1544795434948</v>
      </c>
      <c r="K40" s="26">
        <f t="shared" si="41"/>
        <v>339.54333389700736</v>
      </c>
      <c r="L40" s="26">
        <f t="shared" si="41"/>
        <v>355.39765874077636</v>
      </c>
      <c r="M40" s="26">
        <f t="shared" si="41"/>
        <v>368.27898988465029</v>
      </c>
      <c r="N40" s="26">
        <f t="shared" si="41"/>
        <v>378.13320820971381</v>
      </c>
      <c r="O40" s="26">
        <f t="shared" si="41"/>
        <v>378.13320820971381</v>
      </c>
    </row>
    <row r="41" spans="2:15" ht="15" thickTop="1" x14ac:dyDescent="0.3"/>
    <row r="42" spans="2:15" x14ac:dyDescent="0.3">
      <c r="B42" s="21" t="s">
        <v>34</v>
      </c>
      <c r="E42" s="23">
        <f t="shared" ref="E42:N42" si="42">ROUND(E32-E40,6)</f>
        <v>0</v>
      </c>
      <c r="F42" s="23">
        <f t="shared" si="42"/>
        <v>0</v>
      </c>
      <c r="G42" s="23">
        <f t="shared" si="42"/>
        <v>0</v>
      </c>
      <c r="H42" s="23">
        <f t="shared" si="42"/>
        <v>0</v>
      </c>
      <c r="I42" s="23">
        <f t="shared" si="42"/>
        <v>0</v>
      </c>
      <c r="J42" s="23">
        <f t="shared" si="42"/>
        <v>0</v>
      </c>
      <c r="K42" s="23">
        <f t="shared" si="42"/>
        <v>0</v>
      </c>
      <c r="L42" s="23">
        <f t="shared" si="42"/>
        <v>0</v>
      </c>
      <c r="M42" s="23">
        <f t="shared" si="42"/>
        <v>0</v>
      </c>
      <c r="N42" s="23">
        <f t="shared" si="42"/>
        <v>0</v>
      </c>
      <c r="O42" s="23">
        <f>ROUND(O32-O40,6)</f>
        <v>0</v>
      </c>
    </row>
    <row r="44" spans="2:15" x14ac:dyDescent="0.3">
      <c r="B44" s="2" t="s">
        <v>39</v>
      </c>
      <c r="C44" s="3"/>
      <c r="D44" s="5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</row>
    <row r="46" spans="2:15" x14ac:dyDescent="0.3">
      <c r="B46" s="1" t="s">
        <v>100</v>
      </c>
      <c r="E46" s="24">
        <v>169.2</v>
      </c>
      <c r="F46" s="24">
        <v>191.4</v>
      </c>
      <c r="G46" s="24">
        <v>192.5</v>
      </c>
      <c r="H46" s="24">
        <v>163.9</v>
      </c>
      <c r="I46" s="24">
        <v>203</v>
      </c>
      <c r="J46" s="24">
        <f>J13*summary!J26*J7/12</f>
        <v>213.14999999999998</v>
      </c>
      <c r="K46" s="24">
        <f>K13*summary!K26</f>
        <v>202.49249999999995</v>
      </c>
      <c r="L46" s="24">
        <f>L13*summary!L26</f>
        <v>206.54234999999994</v>
      </c>
      <c r="M46" s="24">
        <f>M13*summary!M26</f>
        <v>210.67319699999996</v>
      </c>
      <c r="N46" s="24">
        <f>N13*summary!N26</f>
        <v>214.88666093999996</v>
      </c>
      <c r="O46" s="24">
        <f>O13*summary!O26</f>
        <v>215.96109424469992</v>
      </c>
    </row>
    <row r="47" spans="2:15" x14ac:dyDescent="0.3">
      <c r="B47" s="1" t="s">
        <v>47</v>
      </c>
      <c r="E47" s="24">
        <v>-35.5</v>
      </c>
      <c r="F47" s="24">
        <v>-46</v>
      </c>
      <c r="G47" s="24">
        <v>-41.6</v>
      </c>
      <c r="H47" s="24">
        <v>-27.7</v>
      </c>
      <c r="I47" s="24">
        <v>-50.4</v>
      </c>
      <c r="J47" s="24">
        <f>-J23*summary!J27*J7/12</f>
        <v>-52.806600000000003</v>
      </c>
      <c r="K47" s="24">
        <f>-K23*summary!K27</f>
        <v>-47.525939999999999</v>
      </c>
      <c r="L47" s="24">
        <f>-L23*summary!L27</f>
        <v>-49.426977600000001</v>
      </c>
      <c r="M47" s="24">
        <f>-M23*summary!M27</f>
        <v>-50.909786928000003</v>
      </c>
      <c r="N47" s="24">
        <f>-N23*summary!N27</f>
        <v>-51.927982666560005</v>
      </c>
      <c r="O47" s="24">
        <f>-O23*summary!O27</f>
        <v>-52.447262493225601</v>
      </c>
    </row>
    <row r="48" spans="2:15" ht="15" thickBot="1" x14ac:dyDescent="0.35">
      <c r="B48" s="17" t="s">
        <v>101</v>
      </c>
      <c r="C48" s="17"/>
      <c r="D48" s="17"/>
      <c r="E48" s="26">
        <f>SUM(E46:E47)</f>
        <v>133.69999999999999</v>
      </c>
      <c r="F48" s="26">
        <f t="shared" ref="F48:L48" si="43">SUM(F46:F47)</f>
        <v>145.4</v>
      </c>
      <c r="G48" s="26">
        <f t="shared" si="43"/>
        <v>150.9</v>
      </c>
      <c r="H48" s="26">
        <f t="shared" si="43"/>
        <v>136.20000000000002</v>
      </c>
      <c r="I48" s="26">
        <f t="shared" si="43"/>
        <v>152.6</v>
      </c>
      <c r="J48" s="26">
        <f t="shared" si="43"/>
        <v>160.34339999999997</v>
      </c>
      <c r="K48" s="26">
        <f t="shared" si="43"/>
        <v>154.96655999999996</v>
      </c>
      <c r="L48" s="26">
        <f t="shared" si="43"/>
        <v>157.11537239999996</v>
      </c>
      <c r="M48" s="26">
        <f t="shared" ref="M48" si="44">SUM(M46:M47)</f>
        <v>159.76341007199994</v>
      </c>
      <c r="N48" s="26">
        <f t="shared" ref="N48" si="45">SUM(N46:N47)</f>
        <v>162.95867827343994</v>
      </c>
      <c r="O48" s="26">
        <f t="shared" ref="O48" si="46">SUM(O46:O47)</f>
        <v>163.51383175147433</v>
      </c>
    </row>
    <row r="49" spans="2:17" ht="15" thickTop="1" x14ac:dyDescent="0.3">
      <c r="B49" s="1" t="s">
        <v>102</v>
      </c>
      <c r="E49" s="24"/>
      <c r="F49" s="24"/>
      <c r="G49" s="24">
        <v>-3.1</v>
      </c>
      <c r="H49" s="24">
        <f>1.5-0.1</f>
        <v>1.4</v>
      </c>
      <c r="I49" s="24">
        <f>1.1-0.3</f>
        <v>0.8</v>
      </c>
      <c r="J49" s="24"/>
      <c r="K49" s="24"/>
      <c r="L49" s="24"/>
      <c r="M49" s="24"/>
      <c r="N49" s="24"/>
      <c r="O49" s="24"/>
    </row>
    <row r="50" spans="2:17" x14ac:dyDescent="0.3">
      <c r="B50" s="1" t="s">
        <v>103</v>
      </c>
      <c r="E50" s="24">
        <v>17.899999999999999</v>
      </c>
      <c r="F50" s="24">
        <v>20.100000000000001</v>
      </c>
      <c r="G50" s="24">
        <v>15.2</v>
      </c>
      <c r="H50" s="24">
        <v>12.7</v>
      </c>
      <c r="I50" s="24">
        <v>17</v>
      </c>
      <c r="J50" s="24">
        <f>(J23+J13)*summary!J29*J7/12</f>
        <v>18.690000000000001</v>
      </c>
      <c r="K50" s="24">
        <f>(K23+K13)*summary!K29</f>
        <v>17.323065245394819</v>
      </c>
      <c r="L50" s="24">
        <f>(L23+L13)*summary!L29</f>
        <v>17.825203061960579</v>
      </c>
      <c r="M50" s="24">
        <f>(M23+M13)*summary!M29</f>
        <v>18.262658909261884</v>
      </c>
      <c r="N50" s="24">
        <f>(N23+N13)*summary!N29</f>
        <v>18.627912087447118</v>
      </c>
      <c r="O50" s="24">
        <f>(O23+O13)*summary!O29</f>
        <v>18.76357562110277</v>
      </c>
    </row>
    <row r="51" spans="2:17" ht="15" thickBot="1" x14ac:dyDescent="0.35">
      <c r="B51" s="17" t="s">
        <v>104</v>
      </c>
      <c r="C51" s="17"/>
      <c r="D51" s="17"/>
      <c r="E51" s="26">
        <f>SUM(E48:E50)</f>
        <v>151.6</v>
      </c>
      <c r="F51" s="26">
        <f t="shared" ref="F51:O51" si="47">SUM(F48:F50)</f>
        <v>165.5</v>
      </c>
      <c r="G51" s="26">
        <f t="shared" si="47"/>
        <v>163</v>
      </c>
      <c r="H51" s="26">
        <f t="shared" si="47"/>
        <v>150.30000000000001</v>
      </c>
      <c r="I51" s="26">
        <f t="shared" si="47"/>
        <v>170.4</v>
      </c>
      <c r="J51" s="26">
        <f t="shared" si="47"/>
        <v>179.03339999999997</v>
      </c>
      <c r="K51" s="26">
        <f t="shared" si="47"/>
        <v>172.28962524539477</v>
      </c>
      <c r="L51" s="26">
        <f t="shared" si="47"/>
        <v>174.94057546196052</v>
      </c>
      <c r="M51" s="26">
        <f t="shared" si="47"/>
        <v>178.02606898126183</v>
      </c>
      <c r="N51" s="26">
        <f t="shared" si="47"/>
        <v>181.58659036088707</v>
      </c>
      <c r="O51" s="26">
        <f t="shared" si="47"/>
        <v>182.2774073725771</v>
      </c>
    </row>
    <row r="52" spans="2:17" ht="15" thickTop="1" x14ac:dyDescent="0.3">
      <c r="B52" s="1" t="s">
        <v>105</v>
      </c>
      <c r="E52" s="24">
        <v>-84.5</v>
      </c>
      <c r="F52" s="24">
        <v>-94.2</v>
      </c>
      <c r="G52" s="24">
        <v>-91.6</v>
      </c>
      <c r="H52" s="24">
        <v>-89.4</v>
      </c>
      <c r="I52" s="24">
        <v>-93.2</v>
      </c>
      <c r="J52" s="24">
        <f>-J51*summary!J28</f>
        <v>-98.468369999999993</v>
      </c>
      <c r="K52" s="24">
        <f>-K51*summary!K28</f>
        <v>-94.759293884967136</v>
      </c>
      <c r="L52" s="24">
        <f>-L51*summary!L28</f>
        <v>-96.217316504078298</v>
      </c>
      <c r="M52" s="24">
        <f>-M51*summary!M28</f>
        <v>-97.914337939694008</v>
      </c>
      <c r="N52" s="24">
        <f>-N51*summary!N28</f>
        <v>-99.872624698487897</v>
      </c>
      <c r="O52" s="24">
        <f>-O51*summary!O28</f>
        <v>-100.25257405491742</v>
      </c>
    </row>
    <row r="53" spans="2:17" ht="15" thickBot="1" x14ac:dyDescent="0.35">
      <c r="B53" s="17" t="s">
        <v>106</v>
      </c>
      <c r="C53" s="17"/>
      <c r="D53" s="17"/>
      <c r="E53" s="26">
        <f>SUM(E51:E52)</f>
        <v>67.099999999999994</v>
      </c>
      <c r="F53" s="26">
        <f t="shared" ref="F53:O53" si="48">SUM(F51:F52)</f>
        <v>71.3</v>
      </c>
      <c r="G53" s="26">
        <f t="shared" si="48"/>
        <v>71.400000000000006</v>
      </c>
      <c r="H53" s="26">
        <f t="shared" si="48"/>
        <v>60.900000000000006</v>
      </c>
      <c r="I53" s="26">
        <f t="shared" si="48"/>
        <v>77.2</v>
      </c>
      <c r="J53" s="26">
        <f>SUM(J51:J52)</f>
        <v>80.565029999999979</v>
      </c>
      <c r="K53" s="26">
        <f t="shared" si="48"/>
        <v>77.530331360427638</v>
      </c>
      <c r="L53" s="26">
        <f t="shared" si="48"/>
        <v>78.723258957882223</v>
      </c>
      <c r="M53" s="26">
        <f t="shared" si="48"/>
        <v>80.111731041567822</v>
      </c>
      <c r="N53" s="26">
        <f t="shared" si="48"/>
        <v>81.713965662399175</v>
      </c>
      <c r="O53" s="26">
        <f t="shared" si="48"/>
        <v>82.024833317659684</v>
      </c>
    </row>
    <row r="54" spans="2:17" ht="15" thickTop="1" x14ac:dyDescent="0.3">
      <c r="B54" s="1" t="s">
        <v>107</v>
      </c>
      <c r="E54" s="24">
        <v>-32.4</v>
      </c>
      <c r="F54" s="24">
        <v>-32.6</v>
      </c>
      <c r="G54" s="24">
        <v>-51.3</v>
      </c>
      <c r="H54" s="24">
        <v>-5</v>
      </c>
      <c r="I54" s="24">
        <v>-38.200000000000003</v>
      </c>
      <c r="J54" s="24">
        <f>J13*summary!J30*J7/12</f>
        <v>-66.666186570011433</v>
      </c>
      <c r="K54" s="24">
        <f>K13*summary!K30</f>
        <v>-63.332877241510857</v>
      </c>
      <c r="L54" s="24">
        <f>L13*summary!L30</f>
        <v>-36.445059374498101</v>
      </c>
      <c r="M54" s="24">
        <f>M13*summary!M30</f>
        <v>-37.173960561988068</v>
      </c>
      <c r="N54" s="24">
        <f>N13*summary!N30</f>
        <v>-37.917439773227827</v>
      </c>
      <c r="O54" s="24">
        <f>O13*summary!O30</f>
        <v>-38.107026972093962</v>
      </c>
    </row>
    <row r="55" spans="2:17" x14ac:dyDescent="0.3">
      <c r="B55" s="1" t="s">
        <v>135</v>
      </c>
      <c r="E55" s="24"/>
      <c r="F55" s="24"/>
      <c r="G55" s="24">
        <v>0</v>
      </c>
      <c r="H55" s="24">
        <v>0.1</v>
      </c>
      <c r="I55" s="24">
        <v>4.0999999999999996</v>
      </c>
      <c r="J55" s="24"/>
      <c r="K55" s="24"/>
      <c r="L55" s="24"/>
      <c r="M55" s="24"/>
      <c r="N55" s="24"/>
      <c r="O55" s="24"/>
    </row>
    <row r="56" spans="2:17" ht="15" thickBot="1" x14ac:dyDescent="0.35">
      <c r="B56" s="17" t="s">
        <v>41</v>
      </c>
      <c r="C56" s="17"/>
      <c r="D56" s="17"/>
      <c r="E56" s="26">
        <f t="shared" ref="E56:H56" si="49">SUM(E53:E55)</f>
        <v>34.699999999999996</v>
      </c>
      <c r="F56" s="26">
        <f t="shared" si="49"/>
        <v>38.699999999999996</v>
      </c>
      <c r="G56" s="26">
        <f t="shared" si="49"/>
        <v>20.100000000000009</v>
      </c>
      <c r="H56" s="26">
        <f t="shared" si="49"/>
        <v>56.000000000000007</v>
      </c>
      <c r="I56" s="26">
        <f>SUM(I53:I55)</f>
        <v>43.1</v>
      </c>
      <c r="J56" s="26">
        <f t="shared" ref="J56:O56" si="50">SUM(J53:J55)</f>
        <v>13.898843429988545</v>
      </c>
      <c r="K56" s="26">
        <f t="shared" si="50"/>
        <v>14.197454118916781</v>
      </c>
      <c r="L56" s="26">
        <f t="shared" si="50"/>
        <v>42.278199583384122</v>
      </c>
      <c r="M56" s="26">
        <f t="shared" si="50"/>
        <v>42.937770479579754</v>
      </c>
      <c r="N56" s="26">
        <f t="shared" si="50"/>
        <v>43.796525889171349</v>
      </c>
      <c r="O56" s="26">
        <f t="shared" si="50"/>
        <v>43.917806345565722</v>
      </c>
    </row>
    <row r="57" spans="2:17" ht="15" thickTop="1" x14ac:dyDescent="0.3">
      <c r="B57" s="1" t="s">
        <v>42</v>
      </c>
      <c r="E57" s="24">
        <v>-6.4</v>
      </c>
      <c r="F57" s="24">
        <v>-7.6</v>
      </c>
      <c r="G57" s="24">
        <v>-3.9</v>
      </c>
      <c r="H57" s="24">
        <v>-10.4</v>
      </c>
      <c r="I57" s="24">
        <v>-9.4</v>
      </c>
      <c r="J57" s="24">
        <f>J56*-summary!J31</f>
        <v>-3.4747108574971364</v>
      </c>
      <c r="K57" s="24">
        <f>K56*-summary!K31</f>
        <v>-3.5493635297291952</v>
      </c>
      <c r="L57" s="24">
        <f>L56*-summary!L31</f>
        <v>-10.569549895846031</v>
      </c>
      <c r="M57" s="24">
        <f>M56*-summary!M31</f>
        <v>-10.734442619894939</v>
      </c>
      <c r="N57" s="24">
        <f>N56*-summary!N31</f>
        <v>-10.949131472292837</v>
      </c>
      <c r="O57" s="24">
        <f>O56*-summary!O31</f>
        <v>-10.979451586391431</v>
      </c>
    </row>
    <row r="58" spans="2:17" ht="15" thickBot="1" x14ac:dyDescent="0.35">
      <c r="B58" s="17" t="s">
        <v>43</v>
      </c>
      <c r="C58" s="17"/>
      <c r="D58" s="17"/>
      <c r="E58" s="26">
        <f t="shared" ref="E58:L58" si="51">SUM(E56:E57)</f>
        <v>28.299999999999997</v>
      </c>
      <c r="F58" s="26">
        <f t="shared" si="51"/>
        <v>31.099999999999994</v>
      </c>
      <c r="G58" s="26">
        <f>SUM(G56:G57)</f>
        <v>16.20000000000001</v>
      </c>
      <c r="H58" s="26">
        <f t="shared" si="51"/>
        <v>45.600000000000009</v>
      </c>
      <c r="I58" s="26">
        <f t="shared" si="51"/>
        <v>33.700000000000003</v>
      </c>
      <c r="J58" s="26">
        <f t="shared" si="51"/>
        <v>10.424132572491409</v>
      </c>
      <c r="K58" s="26">
        <f t="shared" si="51"/>
        <v>10.648090589187586</v>
      </c>
      <c r="L58" s="26">
        <f t="shared" si="51"/>
        <v>31.708649687538092</v>
      </c>
      <c r="M58" s="26">
        <f t="shared" ref="M58:O58" si="52">SUM(M56:M57)</f>
        <v>32.203327859684819</v>
      </c>
      <c r="N58" s="26">
        <f t="shared" si="52"/>
        <v>32.847394416878515</v>
      </c>
      <c r="O58" s="26">
        <f t="shared" si="52"/>
        <v>32.938354759174288</v>
      </c>
    </row>
    <row r="59" spans="2:17" ht="15" thickTop="1" x14ac:dyDescent="0.3"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7" x14ac:dyDescent="0.3">
      <c r="B60" s="1" t="s">
        <v>46</v>
      </c>
      <c r="E60" s="24">
        <f t="shared" ref="E60:J60" si="53">E58-E61</f>
        <v>28.299999999999997</v>
      </c>
      <c r="F60" s="24">
        <f t="shared" si="53"/>
        <v>31.099999999999994</v>
      </c>
      <c r="G60" s="24">
        <f t="shared" si="53"/>
        <v>16.20000000000001</v>
      </c>
      <c r="H60" s="24">
        <f t="shared" si="53"/>
        <v>45.600000000000009</v>
      </c>
      <c r="I60" s="24">
        <f>I58-I61</f>
        <v>33.700000000000003</v>
      </c>
      <c r="J60" s="24">
        <f t="shared" si="53"/>
        <v>10.424132572491409</v>
      </c>
      <c r="K60" s="24">
        <f t="shared" ref="K60:O60" si="54">K58-K61</f>
        <v>10.648090589187586</v>
      </c>
      <c r="L60" s="24">
        <f t="shared" si="54"/>
        <v>31.708649687538092</v>
      </c>
      <c r="M60" s="24">
        <f t="shared" si="54"/>
        <v>32.203327859684819</v>
      </c>
      <c r="N60" s="24">
        <f t="shared" si="54"/>
        <v>32.847394416878515</v>
      </c>
      <c r="O60" s="24">
        <f t="shared" si="54"/>
        <v>32.938354759174288</v>
      </c>
    </row>
    <row r="61" spans="2:17" x14ac:dyDescent="0.3">
      <c r="B61" s="1" t="s">
        <v>109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2:17" x14ac:dyDescent="0.3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2:17" x14ac:dyDescent="0.3">
      <c r="B63" s="1" t="s">
        <v>48</v>
      </c>
      <c r="E63" s="30">
        <v>153.19999999999999</v>
      </c>
      <c r="F63" s="30">
        <v>168.3</v>
      </c>
      <c r="G63" s="30">
        <v>87</v>
      </c>
      <c r="H63" s="30">
        <v>244.7</v>
      </c>
      <c r="I63" s="30">
        <v>180.5</v>
      </c>
      <c r="J63" s="30">
        <f>J$60/$I$60*$I$63</f>
        <v>55.83252015829968</v>
      </c>
      <c r="K63" s="30">
        <f t="shared" ref="K63:O64" si="55">K$60/$I$60*$I$63</f>
        <v>57.032057903512133</v>
      </c>
      <c r="L63" s="30">
        <f t="shared" si="55"/>
        <v>169.83416227301558</v>
      </c>
      <c r="M63" s="30">
        <f t="shared" si="55"/>
        <v>172.48369966389049</v>
      </c>
      <c r="N63" s="30">
        <f t="shared" si="55"/>
        <v>175.93337365716829</v>
      </c>
      <c r="O63" s="30">
        <f t="shared" si="55"/>
        <v>176.42056480804033</v>
      </c>
      <c r="Q63" s="30"/>
    </row>
    <row r="64" spans="2:17" x14ac:dyDescent="0.3">
      <c r="B64" s="1" t="s">
        <v>49</v>
      </c>
      <c r="E64" s="30">
        <v>150.9</v>
      </c>
      <c r="F64" s="30">
        <v>166.4</v>
      </c>
      <c r="G64" s="30">
        <v>85.2</v>
      </c>
      <c r="H64" s="30">
        <v>239.4</v>
      </c>
      <c r="I64" s="30">
        <v>174.7</v>
      </c>
      <c r="J64" s="30">
        <f>J$60/$I$60*$I$63</f>
        <v>55.83252015829968</v>
      </c>
      <c r="K64" s="30">
        <f t="shared" si="55"/>
        <v>57.032057903512133</v>
      </c>
      <c r="L64" s="30">
        <f t="shared" si="55"/>
        <v>169.83416227301558</v>
      </c>
      <c r="M64" s="30">
        <f t="shared" si="55"/>
        <v>172.48369966389049</v>
      </c>
      <c r="N64" s="30">
        <f t="shared" si="55"/>
        <v>175.93337365716829</v>
      </c>
      <c r="O64" s="30">
        <f t="shared" si="55"/>
        <v>176.42056480804033</v>
      </c>
      <c r="Q64" s="30"/>
    </row>
    <row r="66" spans="2:15" x14ac:dyDescent="0.3">
      <c r="B66" s="21" t="s">
        <v>44</v>
      </c>
      <c r="E66" s="29">
        <v>28.3</v>
      </c>
      <c r="F66" s="29">
        <v>31.1</v>
      </c>
      <c r="G66" s="29">
        <v>16.2</v>
      </c>
      <c r="H66" s="29">
        <v>45.6</v>
      </c>
      <c r="I66" s="29">
        <v>33.700000000000003</v>
      </c>
      <c r="J66" s="29">
        <f>J58</f>
        <v>10.424132572491409</v>
      </c>
      <c r="K66" s="29">
        <f t="shared" ref="K66:O66" si="56">K58</f>
        <v>10.648090589187586</v>
      </c>
      <c r="L66" s="29">
        <f t="shared" si="56"/>
        <v>31.708649687538092</v>
      </c>
      <c r="M66" s="29">
        <f t="shared" si="56"/>
        <v>32.203327859684819</v>
      </c>
      <c r="N66" s="29">
        <f t="shared" si="56"/>
        <v>32.847394416878515</v>
      </c>
      <c r="O66" s="29">
        <f t="shared" si="56"/>
        <v>32.938354759174288</v>
      </c>
    </row>
    <row r="67" spans="2:15" x14ac:dyDescent="0.3">
      <c r="B67" s="21" t="s">
        <v>34</v>
      </c>
      <c r="E67" s="33">
        <f t="shared" ref="E67:N67" si="57">ROUND(E66-E58+(E58-E60-E61),6)</f>
        <v>0</v>
      </c>
      <c r="F67" s="33">
        <f t="shared" si="57"/>
        <v>0</v>
      </c>
      <c r="G67" s="33">
        <f t="shared" si="57"/>
        <v>0</v>
      </c>
      <c r="H67" s="33">
        <f t="shared" si="57"/>
        <v>0</v>
      </c>
      <c r="I67" s="33">
        <f t="shared" si="57"/>
        <v>0</v>
      </c>
      <c r="J67" s="33">
        <f t="shared" si="57"/>
        <v>0</v>
      </c>
      <c r="K67" s="33">
        <f t="shared" si="57"/>
        <v>0</v>
      </c>
      <c r="L67" s="33">
        <f t="shared" si="57"/>
        <v>0</v>
      </c>
      <c r="M67" s="33">
        <f t="shared" si="57"/>
        <v>0</v>
      </c>
      <c r="N67" s="33">
        <f t="shared" si="57"/>
        <v>0</v>
      </c>
      <c r="O67" s="33">
        <f>ROUND(O66-O58+(O58-O60-O61),6)</f>
        <v>0</v>
      </c>
    </row>
    <row r="68" spans="2:15" x14ac:dyDescent="0.3">
      <c r="I68" s="18"/>
    </row>
    <row r="69" spans="2:15" x14ac:dyDescent="0.3">
      <c r="B69" s="2" t="s">
        <v>50</v>
      </c>
      <c r="C69" s="3"/>
      <c r="D69" s="5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</row>
    <row r="70" spans="2:15" x14ac:dyDescent="0.3">
      <c r="D70" s="24"/>
    </row>
    <row r="71" spans="2:15" x14ac:dyDescent="0.3">
      <c r="B71" s="1" t="s">
        <v>59</v>
      </c>
      <c r="E71" s="24">
        <f t="shared" ref="E71:H71" si="58">E56</f>
        <v>34.699999999999996</v>
      </c>
      <c r="F71" s="24">
        <f t="shared" si="58"/>
        <v>38.699999999999996</v>
      </c>
      <c r="G71" s="24">
        <f t="shared" si="58"/>
        <v>20.100000000000009</v>
      </c>
      <c r="H71" s="24">
        <f t="shared" si="58"/>
        <v>56.000000000000007</v>
      </c>
      <c r="I71" s="24">
        <f>I56</f>
        <v>43.1</v>
      </c>
      <c r="J71" s="24">
        <f>J56</f>
        <v>13.898843429988545</v>
      </c>
      <c r="K71" s="24">
        <f t="shared" ref="K71:O71" si="59">K56</f>
        <v>14.197454118916781</v>
      </c>
      <c r="L71" s="24">
        <f t="shared" si="59"/>
        <v>42.278199583384122</v>
      </c>
      <c r="M71" s="24">
        <f t="shared" si="59"/>
        <v>42.937770479579754</v>
      </c>
      <c r="N71" s="24">
        <f t="shared" si="59"/>
        <v>43.796525889171349</v>
      </c>
      <c r="O71" s="24">
        <f t="shared" si="59"/>
        <v>43.917806345565722</v>
      </c>
    </row>
    <row r="72" spans="2:15" x14ac:dyDescent="0.3">
      <c r="B72" s="1" t="s">
        <v>119</v>
      </c>
      <c r="E72" s="24">
        <f>-144.7-494.8-17+364.5-0.5</f>
        <v>-292.5</v>
      </c>
      <c r="F72" s="24">
        <f>-453.8-9.2+4.6+172.6+1.3</f>
        <v>-284.49999999999994</v>
      </c>
      <c r="G72" s="24">
        <f>37.5-3.5-1.9-27.8-0.7+15.4</f>
        <v>19</v>
      </c>
      <c r="H72" s="24">
        <f>-238.4+4.7+6+110.7-0.7-24.4</f>
        <v>-142.10000000000002</v>
      </c>
      <c r="I72" s="24">
        <f>-497.1+0.6-1.5+411.4-1.1+45.6</f>
        <v>-42.100000000000016</v>
      </c>
      <c r="J72" s="24">
        <f>J23-I23+(-J13+I13)</f>
        <v>-20.244999999999891</v>
      </c>
      <c r="K72" s="24">
        <f t="shared" ref="K72:O72" si="60">K23-J23+(-K13+J13)</f>
        <v>-110.75924999999961</v>
      </c>
      <c r="L72" s="24">
        <f t="shared" si="60"/>
        <v>36.807855000000018</v>
      </c>
      <c r="M72" s="24">
        <f t="shared" si="60"/>
        <v>14.731560900000204</v>
      </c>
      <c r="N72" s="24">
        <f t="shared" si="60"/>
        <v>-9.6872966820001238</v>
      </c>
      <c r="O72" s="24">
        <f t="shared" si="60"/>
        <v>10.511735012730242</v>
      </c>
    </row>
    <row r="73" spans="2:15" x14ac:dyDescent="0.3">
      <c r="B73" s="1" t="s">
        <v>62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 x14ac:dyDescent="0.3">
      <c r="B74" s="1" t="s">
        <v>120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5" x14ac:dyDescent="0.3">
      <c r="B75" s="1" t="s">
        <v>60</v>
      </c>
      <c r="E75" s="24">
        <v>-6.4</v>
      </c>
      <c r="F75" s="24">
        <v>-7.8</v>
      </c>
      <c r="G75" s="24">
        <v>-4.8</v>
      </c>
      <c r="H75" s="24">
        <v>-12.6</v>
      </c>
      <c r="I75" s="24">
        <v>-7</v>
      </c>
      <c r="J75" s="24">
        <f>J57</f>
        <v>-3.4747108574971364</v>
      </c>
      <c r="K75" s="24">
        <f t="shared" ref="K75:O75" si="61">K57</f>
        <v>-3.5493635297291952</v>
      </c>
      <c r="L75" s="24">
        <f t="shared" si="61"/>
        <v>-10.569549895846031</v>
      </c>
      <c r="M75" s="24">
        <f t="shared" si="61"/>
        <v>-10.734442619894939</v>
      </c>
      <c r="N75" s="24">
        <f t="shared" si="61"/>
        <v>-10.949131472292837</v>
      </c>
      <c r="O75" s="24">
        <f t="shared" si="61"/>
        <v>-10.979451586391431</v>
      </c>
    </row>
    <row r="76" spans="2:15" x14ac:dyDescent="0.3">
      <c r="B76" s="1" t="s">
        <v>58</v>
      </c>
      <c r="E76" s="24">
        <f>71.1-6.4-28.3</f>
        <v>36.399999999999991</v>
      </c>
      <c r="F76" s="24">
        <f>77.9-7.6-31.1</f>
        <v>39.20000000000001</v>
      </c>
      <c r="G76" s="24">
        <f>81.4-16.2-3.9</f>
        <v>61.300000000000004</v>
      </c>
      <c r="H76" s="24">
        <f>64.9-45.6-10.4</f>
        <v>8.9000000000000039</v>
      </c>
      <c r="I76" s="24">
        <f>81.8-33.7-10.3</f>
        <v>37.799999999999997</v>
      </c>
      <c r="J76" s="24"/>
      <c r="K76" s="24"/>
      <c r="L76" s="24"/>
      <c r="M76" s="24"/>
      <c r="N76" s="24"/>
      <c r="O76" s="24"/>
    </row>
    <row r="77" spans="2:15" ht="15" thickBot="1" x14ac:dyDescent="0.35">
      <c r="B77" s="17" t="s">
        <v>51</v>
      </c>
      <c r="C77" s="17"/>
      <c r="D77" s="17"/>
      <c r="E77" s="26">
        <f t="shared" ref="E77:L77" si="62">SUM(E71:E76)</f>
        <v>-227.8</v>
      </c>
      <c r="F77" s="26">
        <f t="shared" si="62"/>
        <v>-214.39999999999995</v>
      </c>
      <c r="G77" s="26">
        <f t="shared" si="62"/>
        <v>95.600000000000023</v>
      </c>
      <c r="H77" s="26">
        <f t="shared" si="62"/>
        <v>-89.800000000000011</v>
      </c>
      <c r="I77" s="26">
        <f>SUM(I71:I76)</f>
        <v>31.799999999999983</v>
      </c>
      <c r="J77" s="26">
        <f t="shared" si="62"/>
        <v>-9.8208674275084817</v>
      </c>
      <c r="K77" s="26">
        <f t="shared" si="62"/>
        <v>-100.11115941081202</v>
      </c>
      <c r="L77" s="26">
        <f t="shared" si="62"/>
        <v>68.516504687538117</v>
      </c>
      <c r="M77" s="26">
        <f t="shared" ref="M77:O77" si="63">SUM(M71:M76)</f>
        <v>46.934888759685023</v>
      </c>
      <c r="N77" s="26">
        <f t="shared" si="63"/>
        <v>23.160097734878388</v>
      </c>
      <c r="O77" s="26">
        <f t="shared" si="63"/>
        <v>43.45008977190453</v>
      </c>
    </row>
    <row r="78" spans="2:15" ht="15" thickTop="1" x14ac:dyDescent="0.3">
      <c r="B78" s="1" t="s">
        <v>61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 x14ac:dyDescent="0.3">
      <c r="B79" s="1" t="s">
        <v>121</v>
      </c>
      <c r="E79" s="24"/>
      <c r="F79" s="24"/>
      <c r="G79" s="24"/>
      <c r="H79" s="24">
        <v>60.4</v>
      </c>
      <c r="I79" s="24">
        <f>81.9</f>
        <v>81.900000000000006</v>
      </c>
      <c r="J79" s="24"/>
      <c r="K79" s="24"/>
      <c r="L79" s="24"/>
      <c r="M79" s="24"/>
      <c r="N79" s="24"/>
      <c r="O79" s="24"/>
    </row>
    <row r="80" spans="2:15" x14ac:dyDescent="0.3">
      <c r="B80" s="1" t="s">
        <v>96</v>
      </c>
      <c r="E80" s="24">
        <v>-2.5</v>
      </c>
      <c r="F80" s="24">
        <f>-1.6-5.5-1.1</f>
        <v>-8.1999999999999993</v>
      </c>
      <c r="G80" s="24">
        <f>-0.8-1.1</f>
        <v>-1.9000000000000001</v>
      </c>
      <c r="H80" s="24">
        <f>-0.2-1.1</f>
        <v>-1.3</v>
      </c>
      <c r="I80" s="24">
        <f>3.3-2.7</f>
        <v>0.59999999999999964</v>
      </c>
      <c r="J80" s="24"/>
      <c r="K80" s="24"/>
      <c r="L80" s="24"/>
      <c r="M80" s="24"/>
      <c r="N80" s="24"/>
      <c r="O80" s="24"/>
    </row>
    <row r="81" spans="2:15" x14ac:dyDescent="0.3">
      <c r="B81" s="1" t="s">
        <v>122</v>
      </c>
      <c r="E81" s="24"/>
      <c r="F81" s="24">
        <f>320.1-195.4</f>
        <v>124.70000000000002</v>
      </c>
      <c r="G81" s="24">
        <v>25</v>
      </c>
      <c r="H81" s="24"/>
      <c r="I81" s="24"/>
      <c r="J81" s="24"/>
      <c r="K81" s="24"/>
      <c r="L81" s="24"/>
      <c r="M81" s="24"/>
      <c r="N81" s="24"/>
      <c r="O81" s="24"/>
    </row>
    <row r="82" spans="2:15" x14ac:dyDescent="0.3">
      <c r="B82" s="1" t="s">
        <v>120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 x14ac:dyDescent="0.3">
      <c r="B83" s="1" t="s">
        <v>58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 ht="15" thickBot="1" x14ac:dyDescent="0.35">
      <c r="B84" s="17" t="s">
        <v>52</v>
      </c>
      <c r="C84" s="17"/>
      <c r="D84" s="17"/>
      <c r="E84" s="26">
        <f t="shared" ref="E84:L84" si="64">SUM(E78:E83)</f>
        <v>-2.5</v>
      </c>
      <c r="F84" s="26">
        <f>SUM(F78:F83)</f>
        <v>116.50000000000001</v>
      </c>
      <c r="G84" s="26">
        <f>SUM(G78:G83)</f>
        <v>23.1</v>
      </c>
      <c r="H84" s="26">
        <f t="shared" si="64"/>
        <v>59.1</v>
      </c>
      <c r="I84" s="26">
        <f t="shared" si="64"/>
        <v>82.5</v>
      </c>
      <c r="J84" s="26">
        <f t="shared" si="64"/>
        <v>0</v>
      </c>
      <c r="K84" s="26">
        <f t="shared" si="64"/>
        <v>0</v>
      </c>
      <c r="L84" s="26">
        <f t="shared" si="64"/>
        <v>0</v>
      </c>
      <c r="M84" s="26">
        <f t="shared" ref="M84:O84" si="65">SUM(M78:M83)</f>
        <v>0</v>
      </c>
      <c r="N84" s="26">
        <f t="shared" si="65"/>
        <v>0</v>
      </c>
      <c r="O84" s="26">
        <f t="shared" si="65"/>
        <v>0</v>
      </c>
    </row>
    <row r="85" spans="2:15" ht="15" thickTop="1" x14ac:dyDescent="0.3">
      <c r="B85" s="1" t="s">
        <v>62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 x14ac:dyDescent="0.3">
      <c r="B86" s="1" t="s">
        <v>63</v>
      </c>
      <c r="E86" s="24">
        <v>-14.8</v>
      </c>
      <c r="F86" s="24">
        <v>-15.5</v>
      </c>
      <c r="G86" s="24">
        <v>0</v>
      </c>
      <c r="H86" s="24">
        <v>-11.9</v>
      </c>
      <c r="I86" s="24">
        <f>-10.7</f>
        <v>-10.7</v>
      </c>
      <c r="J86" s="24">
        <f>MIN(-J60*summary!J32,0)</f>
        <v>-4.1696530289965636</v>
      </c>
      <c r="K86" s="24">
        <f>MIN(-K60*summary!K32,0)</f>
        <v>-4.2592362356750346</v>
      </c>
      <c r="L86" s="24">
        <f>MIN(-L60*summary!L32,0)</f>
        <v>-15.854324843769046</v>
      </c>
      <c r="M86" s="24">
        <f>MIN(-M60*summary!M32,0)</f>
        <v>-19.32199671581089</v>
      </c>
      <c r="N86" s="24">
        <f>MIN(-N60*summary!N32,0)</f>
        <v>-22.993176091814959</v>
      </c>
      <c r="O86" s="24">
        <f>MIN(-O60*summary!O32,0)</f>
        <v>-32.938354759174288</v>
      </c>
    </row>
    <row r="87" spans="2:15" x14ac:dyDescent="0.3">
      <c r="B87" s="1" t="s">
        <v>97</v>
      </c>
      <c r="E87" s="24"/>
      <c r="F87" s="24"/>
      <c r="G87" s="24"/>
      <c r="H87" s="24"/>
      <c r="I87" s="24"/>
      <c r="J87" s="24">
        <f>-J61</f>
        <v>0</v>
      </c>
      <c r="K87" s="24">
        <f t="shared" ref="K87:O87" si="66">-K61</f>
        <v>0</v>
      </c>
      <c r="L87" s="24">
        <f t="shared" si="66"/>
        <v>0</v>
      </c>
      <c r="M87" s="24">
        <f t="shared" si="66"/>
        <v>0</v>
      </c>
      <c r="N87" s="24">
        <f t="shared" si="66"/>
        <v>0</v>
      </c>
      <c r="O87" s="24">
        <f t="shared" si="66"/>
        <v>0</v>
      </c>
    </row>
    <row r="88" spans="2:15" x14ac:dyDescent="0.3">
      <c r="B88" s="1" t="s">
        <v>58</v>
      </c>
      <c r="E88" s="24">
        <f>200-0.8</f>
        <v>199.2</v>
      </c>
      <c r="F88" s="24">
        <f>45-1.1</f>
        <v>43.9</v>
      </c>
      <c r="G88" s="24">
        <f>1.1-1-31.7</f>
        <v>-31.599999999999998</v>
      </c>
      <c r="H88" s="24">
        <f>114.4-0.9</f>
        <v>113.5</v>
      </c>
      <c r="I88" s="24">
        <f>7-0.3-1</f>
        <v>5.7</v>
      </c>
      <c r="J88" s="24"/>
      <c r="K88" s="24"/>
      <c r="L88" s="24"/>
      <c r="M88" s="24"/>
      <c r="N88" s="24"/>
      <c r="O88" s="24"/>
    </row>
    <row r="89" spans="2:15" ht="15" thickBot="1" x14ac:dyDescent="0.35">
      <c r="B89" s="17" t="s">
        <v>53</v>
      </c>
      <c r="C89" s="17"/>
      <c r="D89" s="17"/>
      <c r="E89" s="26">
        <f t="shared" ref="E89:O89" si="67">SUM(E85:E88)</f>
        <v>184.39999999999998</v>
      </c>
      <c r="F89" s="26">
        <f t="shared" si="67"/>
        <v>28.4</v>
      </c>
      <c r="G89" s="26">
        <f t="shared" si="67"/>
        <v>-31.599999999999998</v>
      </c>
      <c r="H89" s="26">
        <f t="shared" si="67"/>
        <v>101.6</v>
      </c>
      <c r="I89" s="26">
        <f t="shared" si="67"/>
        <v>-4.9999999999999991</v>
      </c>
      <c r="J89" s="26">
        <f t="shared" si="67"/>
        <v>-4.1696530289965636</v>
      </c>
      <c r="K89" s="26">
        <f t="shared" si="67"/>
        <v>-4.2592362356750346</v>
      </c>
      <c r="L89" s="26">
        <f t="shared" si="67"/>
        <v>-15.854324843769046</v>
      </c>
      <c r="M89" s="26">
        <f t="shared" si="67"/>
        <v>-19.32199671581089</v>
      </c>
      <c r="N89" s="26">
        <f t="shared" si="67"/>
        <v>-22.993176091814959</v>
      </c>
      <c r="O89" s="26">
        <f t="shared" si="67"/>
        <v>-32.938354759174288</v>
      </c>
    </row>
    <row r="90" spans="2:15" ht="15" thickTop="1" x14ac:dyDescent="0.3"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2:15" ht="15" thickBot="1" x14ac:dyDescent="0.35">
      <c r="B91" s="17" t="s">
        <v>54</v>
      </c>
      <c r="C91" s="17"/>
      <c r="D91" s="17"/>
      <c r="E91" s="26">
        <v>260.39999999999998</v>
      </c>
      <c r="F91" s="26">
        <f>E95</f>
        <v>214.49999999999994</v>
      </c>
      <c r="G91" s="26">
        <f t="shared" ref="G91:K91" si="68">F95</f>
        <v>145</v>
      </c>
      <c r="H91" s="26">
        <f t="shared" si="68"/>
        <v>232.10000000000002</v>
      </c>
      <c r="I91" s="26">
        <f t="shared" si="68"/>
        <v>303</v>
      </c>
      <c r="J91" s="26">
        <f t="shared" si="68"/>
        <v>370.1</v>
      </c>
      <c r="K91" s="26">
        <f t="shared" si="68"/>
        <v>356.10947954349496</v>
      </c>
      <c r="L91" s="26">
        <f>K95</f>
        <v>251.7390838970079</v>
      </c>
      <c r="M91" s="26">
        <f t="shared" ref="M91:O91" si="69">L95</f>
        <v>304.40126374077698</v>
      </c>
      <c r="N91" s="26">
        <f t="shared" si="69"/>
        <v>332.01415578465111</v>
      </c>
      <c r="O91" s="26">
        <f t="shared" si="69"/>
        <v>332.18107742771451</v>
      </c>
    </row>
    <row r="92" spans="2:15" ht="15" thickTop="1" x14ac:dyDescent="0.3">
      <c r="B92" s="1" t="s">
        <v>57</v>
      </c>
      <c r="E92" s="24">
        <f t="shared" ref="E92:O92" si="70">SUM(E89,E84,E77)</f>
        <v>-45.900000000000034</v>
      </c>
      <c r="F92" s="24">
        <f t="shared" si="70"/>
        <v>-69.499999999999943</v>
      </c>
      <c r="G92" s="24">
        <f t="shared" si="70"/>
        <v>87.100000000000023</v>
      </c>
      <c r="H92" s="24">
        <f t="shared" si="70"/>
        <v>70.899999999999977</v>
      </c>
      <c r="I92" s="24">
        <f t="shared" si="70"/>
        <v>109.29999999999998</v>
      </c>
      <c r="J92" s="24">
        <f>SUM(J89,J84,J77)</f>
        <v>-13.990520456505045</v>
      </c>
      <c r="K92" s="24">
        <f t="shared" si="70"/>
        <v>-104.37039564648705</v>
      </c>
      <c r="L92" s="24">
        <f t="shared" si="70"/>
        <v>52.662179843769067</v>
      </c>
      <c r="M92" s="24">
        <f t="shared" si="70"/>
        <v>27.612892043874133</v>
      </c>
      <c r="N92" s="24">
        <f t="shared" si="70"/>
        <v>0.1669216430634286</v>
      </c>
      <c r="O92" s="24">
        <f t="shared" si="70"/>
        <v>10.511735012730242</v>
      </c>
    </row>
    <row r="93" spans="2:15" x14ac:dyDescent="0.3">
      <c r="B93" s="1" t="s">
        <v>56</v>
      </c>
      <c r="E93" s="24"/>
      <c r="F93" s="24"/>
      <c r="G93" s="24"/>
      <c r="H93" s="24"/>
      <c r="I93" s="24"/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 x14ac:dyDescent="0.3">
      <c r="B94" s="1" t="s">
        <v>58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2:15" ht="15" thickBot="1" x14ac:dyDescent="0.35">
      <c r="B95" s="17" t="s">
        <v>55</v>
      </c>
      <c r="C95" s="17"/>
      <c r="D95" s="17"/>
      <c r="E95" s="26">
        <f t="shared" ref="E95:L95" si="71">SUM(E91:E94)</f>
        <v>214.49999999999994</v>
      </c>
      <c r="F95" s="26">
        <f t="shared" si="71"/>
        <v>145</v>
      </c>
      <c r="G95" s="26">
        <f t="shared" si="71"/>
        <v>232.10000000000002</v>
      </c>
      <c r="H95" s="26">
        <f t="shared" si="71"/>
        <v>303</v>
      </c>
      <c r="I95" s="40">
        <v>370.1</v>
      </c>
      <c r="J95" s="26">
        <f t="shared" si="71"/>
        <v>356.10947954349496</v>
      </c>
      <c r="K95" s="26">
        <f t="shared" si="71"/>
        <v>251.7390838970079</v>
      </c>
      <c r="L95" s="26">
        <f t="shared" si="71"/>
        <v>304.40126374077698</v>
      </c>
      <c r="M95" s="26">
        <f t="shared" ref="M95:O95" si="72">SUM(M91:M94)</f>
        <v>332.01415578465111</v>
      </c>
      <c r="N95" s="26">
        <f t="shared" si="72"/>
        <v>332.18107742771451</v>
      </c>
      <c r="O95" s="26">
        <f t="shared" si="72"/>
        <v>342.69281244044475</v>
      </c>
    </row>
    <row r="96" spans="2:15" ht="15" thickTop="1" x14ac:dyDescent="0.3"/>
    <row r="97" spans="2:15" x14ac:dyDescent="0.3">
      <c r="B97" s="21" t="s">
        <v>44</v>
      </c>
      <c r="E97" s="29"/>
      <c r="F97" s="29"/>
      <c r="G97" s="29"/>
      <c r="H97" s="29"/>
      <c r="I97" s="29"/>
      <c r="J97" s="29">
        <f>J12</f>
        <v>356.10947954349496</v>
      </c>
      <c r="K97" s="29">
        <f t="shared" ref="K97:O97" si="73">K12</f>
        <v>251.7390838970079</v>
      </c>
      <c r="L97" s="29">
        <f t="shared" si="73"/>
        <v>304.40126374077698</v>
      </c>
      <c r="M97" s="29">
        <f t="shared" si="73"/>
        <v>332.01415578465111</v>
      </c>
      <c r="N97" s="29">
        <f t="shared" si="73"/>
        <v>332.18107742771451</v>
      </c>
      <c r="O97" s="29">
        <f t="shared" si="73"/>
        <v>342.69281244044475</v>
      </c>
    </row>
    <row r="98" spans="2:15" x14ac:dyDescent="0.3">
      <c r="B98" s="21" t="s">
        <v>34</v>
      </c>
      <c r="E98" s="23"/>
      <c r="F98" s="23"/>
      <c r="G98" s="23"/>
      <c r="H98" s="23"/>
      <c r="I98" s="23"/>
      <c r="J98" s="23">
        <f>J97-J95</f>
        <v>0</v>
      </c>
      <c r="K98" s="23">
        <f t="shared" ref="K98:O98" si="74">K97-K95</f>
        <v>0</v>
      </c>
      <c r="L98" s="23">
        <f t="shared" si="74"/>
        <v>0</v>
      </c>
      <c r="M98" s="23">
        <f t="shared" si="74"/>
        <v>0</v>
      </c>
      <c r="N98" s="23">
        <f t="shared" si="74"/>
        <v>0</v>
      </c>
      <c r="O98" s="23">
        <f t="shared" si="74"/>
        <v>0</v>
      </c>
    </row>
    <row r="100" spans="2:15" x14ac:dyDescent="0.3">
      <c r="D100" s="24"/>
    </row>
  </sheetData>
  <sheetProtection algorithmName="SHA-512" hashValue="gWAuFBe3h4GNELCg4pW47n3owasovFtlxJ8APEo4vKtgzN79n3JmSMg55QCiU4EEPlYgyg5sdgP4kf2YBM+6CQ==" saltValue="FZnVll2GQCOpgCJB4RiqMQ==" spinCount="100000" sheet="1" formatCells="0" formatColumns="0" formatRows="0" insertColumns="0" insertRows="0" insertHyperlinks="0" deleteColumns="0" deleteRows="0" selectLockedCells="1" sort="0" autoFilter="0" pivotTables="0"/>
  <conditionalFormatting sqref="E42:O42 E67:O67">
    <cfRule type="cellIs" dxfId="13" priority="40" operator="equal">
      <formula>0</formula>
    </cfRule>
  </conditionalFormatting>
  <conditionalFormatting sqref="E98:O98">
    <cfRule type="cellIs" dxfId="12" priority="30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FD2E710A-171D-47AC-95F6-04A30387347E}">
            <xm:f>D$6&gt;cover!$E$14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D70 D100 E12:O20 E23:O29 E34:O36 E38:O39 E46:O47 E49:O50 E52:O52 E54:O55 E57:O57 E60:O61 E71:O76 E78:O83 E85:O88 E92:O94 E63:F64 H63:O64</xm:sqref>
        </x14:conditionalFormatting>
        <x14:conditionalFormatting xmlns:xm="http://schemas.microsoft.com/office/excel/2006/main">
          <x14:cfRule type="expression" priority="2" id="{CEDB86D1-2217-48BA-A028-6E40738B5DF0}">
            <xm:f>Q$6&gt;cover!$E$14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Q63:Q64</xm:sqref>
        </x14:conditionalFormatting>
        <x14:conditionalFormatting xmlns:xm="http://schemas.microsoft.com/office/excel/2006/main">
          <x14:cfRule type="expression" priority="1" id="{EA742650-8B35-4959-8719-200DA7717CB6}">
            <xm:f>G$6&gt;cover!$E$14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G63:G64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dimension ref="A1:P10"/>
  <sheetViews>
    <sheetView workbookViewId="0">
      <selection activeCell="E18" sqref="E18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46" t="s">
        <v>136</v>
      </c>
    </row>
    <row r="2" spans="1:16" s="15" customFormat="1" ht="15" thickBot="1" x14ac:dyDescent="0.35">
      <c r="A2" s="13"/>
      <c r="B2" s="14" t="str">
        <f>UPPER(cover!E8&amp;" - "&amp;DAY(cover!E12)&amp;"/"&amp;MONTH(cover!E12)&amp;"/"&amp;YEAR(cover!E12))</f>
        <v>SECURE TRUST BANK PLC - 6/4/2023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 t="s">
        <v>0</v>
      </c>
      <c r="B4" s="2" t="s">
        <v>35</v>
      </c>
      <c r="F4" s="4"/>
    </row>
    <row r="6" spans="1:16" x14ac:dyDescent="0.3">
      <c r="B6" s="1" t="s">
        <v>36</v>
      </c>
      <c r="E6" s="23">
        <f>SUM('detailed-financials'!E42:L42)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37</v>
      </c>
      <c r="E7" s="23">
        <f>SUM('detailed-financials'!E67:L67)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38</v>
      </c>
      <c r="E8" s="23">
        <f>SUM('detailed-financials'!E98:L98)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34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RdVDUutw7ldRu7FN6GgnAJqpFZGertBRGwkYHCC9k7DsQNRvJlf2AjDfPKQI1krk3OTYZ/bYwrUZoT8lWItXbQ==" saltValue="mo8SEWUIz29/2B6Ej2aYGw==" spinCount="100000" sheet="1" formatCells="0" formatColumns="0" formatRows="0" insertColumns="0" insertRows="0" insertHyperlinks="0" deleteColumns="0" deleteRows="0" selectLockedCells="1" sort="0" autoFilter="0" pivotTables="0"/>
  <conditionalFormatting sqref="E6:E8">
    <cfRule type="cellIs" dxfId="2" priority="2" operator="equal">
      <formula>0</formula>
    </cfRule>
  </conditionalFormatting>
  <conditionalFormatting sqref="E10">
    <cfRule type="cellIs" dxfId="1" priority="1" operator="equal">
      <formula>0</formula>
    </cfRule>
  </conditionalFormatting>
  <conditionalFormatting sqref="F10:P10">
    <cfRule type="cellIs" dxfId="0" priority="3" operator="not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summary</vt:lpstr>
      <vt:lpstr>Sheet1</vt:lpstr>
      <vt:lpstr>cost-of-equity</vt:lpstr>
      <vt:lpstr>detailed-financials</vt:lpstr>
      <vt:lpstr>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2023-04-05T17:02:29Z</dcterms:modified>
</cp:coreProperties>
</file>