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Moss\Documents\Tim M\PF\MANO\"/>
    </mc:Choice>
  </mc:AlternateContent>
  <xr:revisionPtr revIDLastSave="0" documentId="13_ncr:1_{332842B8-29C9-40AA-B2B5-D39EAC25EB90}" xr6:coauthVersionLast="47" xr6:coauthVersionMax="47" xr10:uidLastSave="{00000000-0000-0000-0000-000000000000}"/>
  <bookViews>
    <workbookView xWindow="28680" yWindow="-120" windowWidth="29040" windowHeight="15720" firstSheet="1" activeTab="1" xr2:uid="{4464965C-57E2-470B-B959-64ECF7EB36CC}"/>
  </bookViews>
  <sheets>
    <sheet name="cover" sheetId="1" state="hidden" r:id="rId1"/>
    <sheet name="summary" sheetId="11" r:id="rId2"/>
    <sheet name="WACC" sheetId="12" r:id="rId3"/>
    <sheet name="detailed-financials" sheetId="4" r:id="rId4"/>
    <sheet name="checks" sheetId="6" r:id="rId5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4" i="11" l="1"/>
  <c r="K56" i="11"/>
  <c r="J56" i="11"/>
  <c r="I56" i="11"/>
  <c r="H56" i="11"/>
  <c r="G56" i="11"/>
  <c r="H55" i="11"/>
  <c r="I55" i="11"/>
  <c r="J55" i="11"/>
  <c r="K55" i="11"/>
  <c r="G55" i="11"/>
  <c r="D13" i="11"/>
  <c r="F52" i="11"/>
  <c r="G52" i="11"/>
  <c r="H52" i="11"/>
  <c r="I52" i="11"/>
  <c r="J52" i="11"/>
  <c r="K52" i="11"/>
  <c r="E52" i="11"/>
  <c r="E39" i="11"/>
  <c r="F50" i="11" l="1"/>
  <c r="G50" i="11"/>
  <c r="H50" i="11"/>
  <c r="I50" i="11"/>
  <c r="J50" i="11"/>
  <c r="K50" i="11"/>
  <c r="E50" i="11"/>
  <c r="F48" i="11"/>
  <c r="G48" i="11"/>
  <c r="H48" i="11"/>
  <c r="I48" i="11"/>
  <c r="J48" i="11"/>
  <c r="K48" i="11"/>
  <c r="E48" i="11"/>
  <c r="K25" i="11"/>
  <c r="F46" i="11"/>
  <c r="G46" i="11"/>
  <c r="H46" i="11"/>
  <c r="I46" i="11"/>
  <c r="J46" i="11"/>
  <c r="K46" i="11"/>
  <c r="K47" i="11" s="1"/>
  <c r="E46" i="11"/>
  <c r="K71" i="4"/>
  <c r="K77" i="4" s="1"/>
  <c r="J71" i="4"/>
  <c r="J77" i="4" s="1"/>
  <c r="H71" i="4"/>
  <c r="G71" i="4"/>
  <c r="F71" i="4"/>
  <c r="E71" i="4"/>
  <c r="P32" i="11"/>
  <c r="O32" i="11"/>
  <c r="N32" i="11"/>
  <c r="E14" i="1"/>
  <c r="O30" i="11"/>
  <c r="N30" i="11"/>
  <c r="F26" i="11"/>
  <c r="G26" i="11"/>
  <c r="H26" i="11"/>
  <c r="I26" i="11"/>
  <c r="J26" i="11"/>
  <c r="K26" i="11"/>
  <c r="E26" i="11"/>
  <c r="H84" i="11"/>
  <c r="I11" i="12"/>
  <c r="K32" i="11"/>
  <c r="J32" i="11"/>
  <c r="I32" i="11"/>
  <c r="H32" i="11"/>
  <c r="G32" i="11"/>
  <c r="F32" i="11"/>
  <c r="E32" i="11"/>
  <c r="R28" i="11"/>
  <c r="Q28" i="11"/>
  <c r="P28" i="11"/>
  <c r="O28" i="11"/>
  <c r="N28" i="11"/>
  <c r="M28" i="11"/>
  <c r="L28" i="11"/>
  <c r="J25" i="11"/>
  <c r="I25" i="11"/>
  <c r="H25" i="11"/>
  <c r="G25" i="11"/>
  <c r="F25" i="11"/>
  <c r="E25" i="11"/>
  <c r="L25" i="11" s="1"/>
  <c r="O83" i="4"/>
  <c r="N83" i="4"/>
  <c r="M83" i="4"/>
  <c r="L83" i="4"/>
  <c r="P31" i="11"/>
  <c r="P83" i="4" s="1"/>
  <c r="E31" i="11"/>
  <c r="F31" i="11"/>
  <c r="G31" i="11"/>
  <c r="G30" i="11" s="1"/>
  <c r="H31" i="11"/>
  <c r="I31" i="11"/>
  <c r="J31" i="11"/>
  <c r="L32" i="11" s="1"/>
  <c r="K31" i="11"/>
  <c r="M32" i="11" s="1"/>
  <c r="K51" i="4"/>
  <c r="K48" i="4" s="1"/>
  <c r="J51" i="4"/>
  <c r="I51" i="4"/>
  <c r="H51" i="4"/>
  <c r="G51" i="4"/>
  <c r="F51" i="4"/>
  <c r="E51" i="4"/>
  <c r="J48" i="4"/>
  <c r="I48" i="4"/>
  <c r="K88" i="4"/>
  <c r="K72" i="4"/>
  <c r="K34" i="4"/>
  <c r="K32" i="4"/>
  <c r="K22" i="4"/>
  <c r="K18" i="4"/>
  <c r="K14" i="4"/>
  <c r="K13" i="4"/>
  <c r="H72" i="4"/>
  <c r="G72" i="4"/>
  <c r="I88" i="4"/>
  <c r="K103" i="4"/>
  <c r="J103" i="4"/>
  <c r="I103" i="4"/>
  <c r="J88" i="4"/>
  <c r="J72" i="4"/>
  <c r="I72" i="4"/>
  <c r="J34" i="4"/>
  <c r="I34" i="4"/>
  <c r="J32" i="4"/>
  <c r="I32" i="4"/>
  <c r="I26" i="4"/>
  <c r="J26" i="4"/>
  <c r="J22" i="4"/>
  <c r="I22" i="4"/>
  <c r="I14" i="4"/>
  <c r="J18" i="4"/>
  <c r="I18" i="4"/>
  <c r="J14" i="4"/>
  <c r="J13" i="4"/>
  <c r="I13" i="4"/>
  <c r="G75" i="4"/>
  <c r="H103" i="4"/>
  <c r="G88" i="4"/>
  <c r="H88" i="4"/>
  <c r="G81" i="4"/>
  <c r="H77" i="4"/>
  <c r="H75" i="4"/>
  <c r="H34" i="4"/>
  <c r="G34" i="4"/>
  <c r="H32" i="4"/>
  <c r="G32" i="4"/>
  <c r="H26" i="4"/>
  <c r="H22" i="4"/>
  <c r="H13" i="4"/>
  <c r="G13" i="4"/>
  <c r="H18" i="4"/>
  <c r="G18" i="4"/>
  <c r="H14" i="4"/>
  <c r="R71" i="4"/>
  <c r="Q71" i="4"/>
  <c r="P71" i="4"/>
  <c r="O71" i="4"/>
  <c r="N71" i="4"/>
  <c r="M71" i="4"/>
  <c r="L71" i="4"/>
  <c r="G103" i="4"/>
  <c r="F103" i="4"/>
  <c r="E103" i="4"/>
  <c r="F88" i="4"/>
  <c r="E88" i="4"/>
  <c r="F72" i="4"/>
  <c r="E72" i="4"/>
  <c r="F75" i="4"/>
  <c r="E75" i="4"/>
  <c r="I71" i="4"/>
  <c r="I77" i="4" s="1"/>
  <c r="F32" i="4"/>
  <c r="E32" i="4"/>
  <c r="E26" i="4"/>
  <c r="B61" i="11"/>
  <c r="D11" i="11"/>
  <c r="I17" i="12"/>
  <c r="I16" i="12"/>
  <c r="I15" i="12"/>
  <c r="I12" i="12"/>
  <c r="I10" i="12"/>
  <c r="F45" i="11"/>
  <c r="G45" i="11"/>
  <c r="H45" i="11"/>
  <c r="I45" i="11"/>
  <c r="J45" i="11"/>
  <c r="K45" i="11"/>
  <c r="E45" i="11"/>
  <c r="E20" i="11"/>
  <c r="E19" i="11"/>
  <c r="K38" i="11"/>
  <c r="J38" i="11"/>
  <c r="I38" i="11"/>
  <c r="H38" i="11"/>
  <c r="G38" i="11"/>
  <c r="F38" i="11"/>
  <c r="E38" i="11"/>
  <c r="E34" i="11"/>
  <c r="E33" i="11"/>
  <c r="F6" i="4"/>
  <c r="F7" i="4" s="1"/>
  <c r="E47" i="11" l="1"/>
  <c r="F30" i="11"/>
  <c r="P30" i="11"/>
  <c r="G35" i="11"/>
  <c r="Q32" i="11"/>
  <c r="J35" i="11"/>
  <c r="I30" i="11"/>
  <c r="I24" i="11" s="1"/>
  <c r="J30" i="11"/>
  <c r="J24" i="11" s="1"/>
  <c r="K30" i="11"/>
  <c r="K24" i="11" s="1"/>
  <c r="H30" i="11"/>
  <c r="H24" i="11" s="1"/>
  <c r="L30" i="11"/>
  <c r="M30" i="11"/>
  <c r="I35" i="11"/>
  <c r="H35" i="11"/>
  <c r="K35" i="11"/>
  <c r="E44" i="11"/>
  <c r="M84" i="4"/>
  <c r="L84" i="4"/>
  <c r="Q31" i="11"/>
  <c r="R32" i="11" s="1"/>
  <c r="F24" i="11"/>
  <c r="G24" i="11"/>
  <c r="F34" i="11"/>
  <c r="F20" i="11"/>
  <c r="F33" i="11"/>
  <c r="F19" i="11"/>
  <c r="E63" i="11"/>
  <c r="G6" i="4"/>
  <c r="G19" i="11" s="1"/>
  <c r="L92" i="4"/>
  <c r="L76" i="4"/>
  <c r="L54" i="4" s="1"/>
  <c r="L37" i="4"/>
  <c r="L34" i="4"/>
  <c r="L27" i="4"/>
  <c r="L25" i="4"/>
  <c r="L24" i="4"/>
  <c r="L23" i="4"/>
  <c r="L19" i="4"/>
  <c r="L17" i="4"/>
  <c r="L16" i="4"/>
  <c r="L15" i="4"/>
  <c r="L35" i="11" l="1"/>
  <c r="L26" i="4" s="1"/>
  <c r="L88" i="4" s="1"/>
  <c r="Q30" i="11"/>
  <c r="M24" i="11"/>
  <c r="N24" i="11" s="1"/>
  <c r="O24" i="11" s="1"/>
  <c r="P24" i="11" s="1"/>
  <c r="Q24" i="11" s="1"/>
  <c r="R24" i="11" s="1"/>
  <c r="N84" i="4"/>
  <c r="O84" i="4"/>
  <c r="P84" i="4"/>
  <c r="L13" i="4"/>
  <c r="M13" i="4" s="1"/>
  <c r="E72" i="11"/>
  <c r="R31" i="11"/>
  <c r="R30" i="11" s="1"/>
  <c r="Q83" i="4"/>
  <c r="F44" i="11"/>
  <c r="F63" i="11"/>
  <c r="F72" i="11" s="1"/>
  <c r="E61" i="11"/>
  <c r="G7" i="4"/>
  <c r="H6" i="4"/>
  <c r="M35" i="11" l="1"/>
  <c r="N35" i="11" s="1"/>
  <c r="N26" i="4" s="1"/>
  <c r="N13" i="4"/>
  <c r="O13" i="4" s="1"/>
  <c r="P13" i="4" s="1"/>
  <c r="R83" i="4"/>
  <c r="H19" i="11"/>
  <c r="G33" i="11"/>
  <c r="G34" i="11"/>
  <c r="G20" i="11"/>
  <c r="G44" i="11" s="1"/>
  <c r="F61" i="11"/>
  <c r="F64" i="11"/>
  <c r="G63" i="11"/>
  <c r="G72" i="11" s="1"/>
  <c r="I6" i="4"/>
  <c r="H7" i="4"/>
  <c r="M26" i="4" l="1"/>
  <c r="Q84" i="4"/>
  <c r="R84" i="4"/>
  <c r="O35" i="11"/>
  <c r="O26" i="4" s="1"/>
  <c r="H33" i="11"/>
  <c r="H34" i="11"/>
  <c r="H27" i="11"/>
  <c r="H20" i="11"/>
  <c r="I19" i="11"/>
  <c r="G64" i="11"/>
  <c r="G61" i="11"/>
  <c r="H63" i="11"/>
  <c r="H72" i="11" s="1"/>
  <c r="J6" i="4"/>
  <c r="J19" i="11" s="1"/>
  <c r="I7" i="4"/>
  <c r="L32" i="4"/>
  <c r="F95" i="4"/>
  <c r="F86" i="4"/>
  <c r="F47" i="4"/>
  <c r="F35" i="4"/>
  <c r="F38" i="4" s="1"/>
  <c r="F20" i="4"/>
  <c r="I86" i="4"/>
  <c r="I47" i="4"/>
  <c r="H47" i="4"/>
  <c r="H35" i="4"/>
  <c r="H38" i="4" s="1"/>
  <c r="H20" i="4"/>
  <c r="Q13" i="4" l="1"/>
  <c r="R13" i="4" s="1"/>
  <c r="P35" i="11"/>
  <c r="P26" i="4" s="1"/>
  <c r="H44" i="11"/>
  <c r="I47" i="11"/>
  <c r="F47" i="11"/>
  <c r="H47" i="11"/>
  <c r="I33" i="11"/>
  <c r="I34" i="11"/>
  <c r="I20" i="11"/>
  <c r="I27" i="11"/>
  <c r="H28" i="11"/>
  <c r="H28" i="4"/>
  <c r="H30" i="4" s="1"/>
  <c r="H40" i="4" s="1"/>
  <c r="I28" i="11"/>
  <c r="F28" i="4"/>
  <c r="F30" i="4" s="1"/>
  <c r="F40" i="4" s="1"/>
  <c r="G28" i="11"/>
  <c r="F28" i="11"/>
  <c r="H64" i="11"/>
  <c r="H61" i="11"/>
  <c r="I63" i="11"/>
  <c r="J7" i="4"/>
  <c r="J28" i="11" s="1"/>
  <c r="K6" i="4"/>
  <c r="K19" i="11" s="1"/>
  <c r="L81" i="4"/>
  <c r="F50" i="4"/>
  <c r="F49" i="11" s="1"/>
  <c r="I35" i="4"/>
  <c r="I38" i="4" s="1"/>
  <c r="I20" i="4"/>
  <c r="H50" i="4"/>
  <c r="I28" i="4"/>
  <c r="H86" i="4"/>
  <c r="I50" i="4"/>
  <c r="H95" i="4"/>
  <c r="I95" i="4"/>
  <c r="J63" i="11" l="1"/>
  <c r="J72" i="11" s="1"/>
  <c r="I72" i="11"/>
  <c r="Q35" i="11"/>
  <c r="Q26" i="4" s="1"/>
  <c r="I44" i="11"/>
  <c r="Q26" i="11"/>
  <c r="I52" i="4"/>
  <c r="I55" i="4" s="1"/>
  <c r="I49" i="11"/>
  <c r="H52" i="4"/>
  <c r="H49" i="11"/>
  <c r="J20" i="11"/>
  <c r="J34" i="11"/>
  <c r="J27" i="11"/>
  <c r="J33" i="11"/>
  <c r="J64" i="11"/>
  <c r="I61" i="11"/>
  <c r="I64" i="11"/>
  <c r="K7" i="4"/>
  <c r="L6" i="4"/>
  <c r="I30" i="4"/>
  <c r="I40" i="4" s="1"/>
  <c r="F52" i="4"/>
  <c r="K63" i="11" l="1"/>
  <c r="K72" i="11" s="1"/>
  <c r="J61" i="11"/>
  <c r="R35" i="11"/>
  <c r="R26" i="4" s="1"/>
  <c r="J44" i="11"/>
  <c r="I29" i="11"/>
  <c r="I70" i="4"/>
  <c r="I78" i="4" s="1"/>
  <c r="I98" i="4" s="1"/>
  <c r="H55" i="4"/>
  <c r="H57" i="4" s="1"/>
  <c r="H59" i="4" s="1"/>
  <c r="F51" i="11"/>
  <c r="H51" i="11"/>
  <c r="I51" i="11"/>
  <c r="K20" i="11"/>
  <c r="K28" i="11"/>
  <c r="K27" i="11"/>
  <c r="K34" i="11"/>
  <c r="L34" i="11" s="1"/>
  <c r="K33" i="11"/>
  <c r="L33" i="11" s="1"/>
  <c r="M33" i="11" s="1"/>
  <c r="N33" i="11" s="1"/>
  <c r="O33" i="11" s="1"/>
  <c r="P33" i="11" s="1"/>
  <c r="Q33" i="11" s="1"/>
  <c r="R33" i="11" s="1"/>
  <c r="L19" i="11"/>
  <c r="L7" i="4"/>
  <c r="M6" i="4"/>
  <c r="I57" i="4"/>
  <c r="I59" i="4" s="1"/>
  <c r="F55" i="4"/>
  <c r="K64" i="11" l="1"/>
  <c r="K61" i="11"/>
  <c r="L63" i="11"/>
  <c r="L64" i="11" s="1"/>
  <c r="M34" i="11"/>
  <c r="N34" i="11" s="1"/>
  <c r="O34" i="11" s="1"/>
  <c r="P34" i="11" s="1"/>
  <c r="Q34" i="11" s="1"/>
  <c r="R34" i="11" s="1"/>
  <c r="I39" i="11"/>
  <c r="I40" i="11"/>
  <c r="K44" i="11"/>
  <c r="H29" i="11"/>
  <c r="H70" i="4"/>
  <c r="H78" i="4" s="1"/>
  <c r="H98" i="4" s="1"/>
  <c r="F29" i="11"/>
  <c r="F40" i="11" s="1"/>
  <c r="F70" i="4"/>
  <c r="F78" i="4" s="1"/>
  <c r="F98" i="4" s="1"/>
  <c r="I21" i="12"/>
  <c r="I22" i="12" s="1"/>
  <c r="I66" i="4"/>
  <c r="I36" i="11"/>
  <c r="I37" i="11"/>
  <c r="H66" i="4"/>
  <c r="H37" i="11"/>
  <c r="H36" i="11"/>
  <c r="M19" i="11"/>
  <c r="L20" i="11"/>
  <c r="E64" i="11" s="1"/>
  <c r="N6" i="4"/>
  <c r="N19" i="11" s="1"/>
  <c r="M7" i="4"/>
  <c r="M20" i="11" s="1"/>
  <c r="F57" i="4"/>
  <c r="F59" i="4" s="1"/>
  <c r="M44" i="4" l="1"/>
  <c r="H39" i="11"/>
  <c r="H40" i="11"/>
  <c r="L44" i="4"/>
  <c r="F39" i="11"/>
  <c r="H53" i="11"/>
  <c r="F66" i="4"/>
  <c r="F36" i="11"/>
  <c r="F37" i="11"/>
  <c r="I53" i="11"/>
  <c r="O6" i="4"/>
  <c r="N7" i="4"/>
  <c r="N20" i="11" s="1"/>
  <c r="L46" i="4" l="1"/>
  <c r="L48" i="4" s="1"/>
  <c r="N44" i="4"/>
  <c r="F53" i="11"/>
  <c r="O19" i="11"/>
  <c r="P6" i="4"/>
  <c r="P19" i="11" s="1"/>
  <c r="O7" i="4"/>
  <c r="O20" i="11" s="1"/>
  <c r="M76" i="4"/>
  <c r="M37" i="4"/>
  <c r="N37" i="4" s="1"/>
  <c r="O37" i="4" s="1"/>
  <c r="P37" i="4" s="1"/>
  <c r="Q37" i="4" s="1"/>
  <c r="R37" i="4" s="1"/>
  <c r="M92" i="4"/>
  <c r="O44" i="4" l="1"/>
  <c r="N92" i="4"/>
  <c r="Q6" i="4"/>
  <c r="Q19" i="11" s="1"/>
  <c r="P7" i="4"/>
  <c r="P20" i="11" s="1"/>
  <c r="N76" i="4"/>
  <c r="M54" i="4"/>
  <c r="P44" i="4" l="1"/>
  <c r="B2" i="12"/>
  <c r="B2" i="6"/>
  <c r="D10" i="11"/>
  <c r="D63" i="11" s="1"/>
  <c r="B2" i="1"/>
  <c r="O92" i="4"/>
  <c r="G74" i="11"/>
  <c r="B2" i="11"/>
  <c r="R6" i="4"/>
  <c r="F74" i="11" s="1"/>
  <c r="Q7" i="4"/>
  <c r="Q20" i="11" s="1"/>
  <c r="O76" i="4"/>
  <c r="H73" i="11" s="1"/>
  <c r="N54" i="4"/>
  <c r="Q44" i="4" l="1"/>
  <c r="R7" i="4"/>
  <c r="R20" i="11" s="1"/>
  <c r="R19" i="11"/>
  <c r="D87" i="11"/>
  <c r="D86" i="11"/>
  <c r="D85" i="11"/>
  <c r="F73" i="11"/>
  <c r="E73" i="11"/>
  <c r="E74" i="11"/>
  <c r="E70" i="11"/>
  <c r="G73" i="11"/>
  <c r="E65" i="11"/>
  <c r="K65" i="11"/>
  <c r="L65" i="11" s="1"/>
  <c r="J65" i="11"/>
  <c r="H65" i="11"/>
  <c r="G65" i="11"/>
  <c r="F65" i="11"/>
  <c r="I65" i="11"/>
  <c r="P92" i="4"/>
  <c r="H74" i="11"/>
  <c r="P76" i="4"/>
  <c r="O54" i="4"/>
  <c r="R44" i="4" l="1"/>
  <c r="I13" i="12"/>
  <c r="I18" i="12" s="1"/>
  <c r="I19" i="12" s="1"/>
  <c r="I24" i="12" s="1"/>
  <c r="I25" i="12" s="1"/>
  <c r="D8" i="11" s="1"/>
  <c r="K67" i="11"/>
  <c r="H67" i="11"/>
  <c r="G67" i="11"/>
  <c r="F67" i="11"/>
  <c r="J67" i="11"/>
  <c r="E67" i="11"/>
  <c r="L67" i="11"/>
  <c r="I67" i="11"/>
  <c r="Q92" i="4"/>
  <c r="I74" i="11"/>
  <c r="I73" i="11"/>
  <c r="Q76" i="4"/>
  <c r="J73" i="11" s="1"/>
  <c r="P54" i="4"/>
  <c r="R92" i="4" l="1"/>
  <c r="J74" i="11"/>
  <c r="R76" i="4"/>
  <c r="Q54" i="4"/>
  <c r="M81" i="4"/>
  <c r="F70" i="11" s="1"/>
  <c r="R81" i="4"/>
  <c r="M34" i="4"/>
  <c r="N34" i="4" s="1"/>
  <c r="O34" i="4" s="1"/>
  <c r="P34" i="4" s="1"/>
  <c r="Q34" i="4" s="1"/>
  <c r="R34" i="4" s="1"/>
  <c r="M19" i="4"/>
  <c r="N19" i="4" s="1"/>
  <c r="O19" i="4" s="1"/>
  <c r="P19" i="4" s="1"/>
  <c r="Q19" i="4" s="1"/>
  <c r="R19" i="4" s="1"/>
  <c r="M25" i="4"/>
  <c r="N25" i="4" s="1"/>
  <c r="O25" i="4" s="1"/>
  <c r="P25" i="4" s="1"/>
  <c r="Q25" i="4" s="1"/>
  <c r="R25" i="4" s="1"/>
  <c r="M24" i="4"/>
  <c r="N24" i="4" s="1"/>
  <c r="O24" i="4" s="1"/>
  <c r="P24" i="4" s="1"/>
  <c r="Q24" i="4" s="1"/>
  <c r="R24" i="4" s="1"/>
  <c r="M16" i="4"/>
  <c r="N16" i="4" s="1"/>
  <c r="O16" i="4" s="1"/>
  <c r="P16" i="4" s="1"/>
  <c r="Q16" i="4" s="1"/>
  <c r="R16" i="4" s="1"/>
  <c r="M15" i="4"/>
  <c r="N15" i="4" s="1"/>
  <c r="O15" i="4" s="1"/>
  <c r="P15" i="4" s="1"/>
  <c r="Q15" i="4" s="1"/>
  <c r="R15" i="4" s="1"/>
  <c r="J95" i="4"/>
  <c r="G86" i="4"/>
  <c r="K86" i="4"/>
  <c r="B2" i="4"/>
  <c r="D4" i="4"/>
  <c r="K47" i="4"/>
  <c r="J47" i="4"/>
  <c r="G47" i="4"/>
  <c r="E47" i="4"/>
  <c r="M27" i="4"/>
  <c r="N27" i="4" s="1"/>
  <c r="O27" i="4" s="1"/>
  <c r="P27" i="4" s="1"/>
  <c r="Q27" i="4" s="1"/>
  <c r="R27" i="4" s="1"/>
  <c r="M23" i="4"/>
  <c r="N23" i="4" s="1"/>
  <c r="O23" i="4" s="1"/>
  <c r="P23" i="4" s="1"/>
  <c r="M17" i="4"/>
  <c r="N17" i="4" s="1"/>
  <c r="O17" i="4" s="1"/>
  <c r="P17" i="4" s="1"/>
  <c r="Q17" i="4" s="1"/>
  <c r="R17" i="4" s="1"/>
  <c r="J35" i="4"/>
  <c r="J38" i="4" s="1"/>
  <c r="G35" i="4"/>
  <c r="G38" i="4" s="1"/>
  <c r="E35" i="4"/>
  <c r="E38" i="4" s="1"/>
  <c r="K74" i="11" l="1"/>
  <c r="L74" i="11"/>
  <c r="R54" i="4"/>
  <c r="K73" i="11"/>
  <c r="L73" i="11"/>
  <c r="G47" i="11"/>
  <c r="J47" i="11"/>
  <c r="E50" i="4"/>
  <c r="E52" i="4" s="1"/>
  <c r="M25" i="11"/>
  <c r="R86" i="4"/>
  <c r="K70" i="11"/>
  <c r="M32" i="4"/>
  <c r="N32" i="4" s="1"/>
  <c r="O32" i="4" s="1"/>
  <c r="P32" i="4" s="1"/>
  <c r="Q32" i="4" s="1"/>
  <c r="M86" i="4"/>
  <c r="Q81" i="4"/>
  <c r="P81" i="4"/>
  <c r="I70" i="11" s="1"/>
  <c r="O81" i="4"/>
  <c r="H70" i="11" s="1"/>
  <c r="N81" i="4"/>
  <c r="G70" i="11" s="1"/>
  <c r="Q23" i="4"/>
  <c r="E95" i="4"/>
  <c r="K95" i="4"/>
  <c r="G95" i="4"/>
  <c r="J86" i="4"/>
  <c r="E86" i="4"/>
  <c r="K50" i="4"/>
  <c r="J50" i="4"/>
  <c r="G50" i="4"/>
  <c r="K35" i="4"/>
  <c r="K38" i="4" s="1"/>
  <c r="K20" i="4"/>
  <c r="K28" i="4"/>
  <c r="G28" i="4"/>
  <c r="J28" i="4"/>
  <c r="G20" i="4"/>
  <c r="J20" i="4"/>
  <c r="E28" i="4"/>
  <c r="E20" i="4"/>
  <c r="D21" i="1"/>
  <c r="N25" i="11" l="1"/>
  <c r="M46" i="4"/>
  <c r="E49" i="11"/>
  <c r="J52" i="4"/>
  <c r="J49" i="11"/>
  <c r="E58" i="11"/>
  <c r="K52" i="4"/>
  <c r="K55" i="4" s="1"/>
  <c r="K49" i="11"/>
  <c r="G49" i="11"/>
  <c r="Q86" i="4"/>
  <c r="J70" i="11"/>
  <c r="N86" i="4"/>
  <c r="P86" i="4"/>
  <c r="O86" i="4"/>
  <c r="D22" i="1"/>
  <c r="D23" i="1" s="1"/>
  <c r="G52" i="4"/>
  <c r="R32" i="4"/>
  <c r="R23" i="4"/>
  <c r="E55" i="4"/>
  <c r="K30" i="4"/>
  <c r="K40" i="4" s="1"/>
  <c r="E30" i="4"/>
  <c r="E40" i="4" s="1"/>
  <c r="J30" i="4"/>
  <c r="J40" i="4" s="1"/>
  <c r="G30" i="4"/>
  <c r="G40" i="4" s="1"/>
  <c r="O25" i="11" l="1"/>
  <c r="N46" i="4"/>
  <c r="K29" i="11"/>
  <c r="K70" i="4"/>
  <c r="K78" i="4" s="1"/>
  <c r="K98" i="4" s="1"/>
  <c r="E29" i="11"/>
  <c r="E70" i="4"/>
  <c r="E78" i="4" s="1"/>
  <c r="E98" i="4" s="1"/>
  <c r="E101" i="4" s="1"/>
  <c r="E51" i="11"/>
  <c r="G55" i="4"/>
  <c r="J55" i="4"/>
  <c r="E57" i="4"/>
  <c r="E59" i="4" s="1"/>
  <c r="K57" i="4"/>
  <c r="K59" i="4" s="1"/>
  <c r="P25" i="11" l="1"/>
  <c r="O46" i="4"/>
  <c r="E40" i="11"/>
  <c r="K39" i="11"/>
  <c r="K40" i="11"/>
  <c r="E104" i="4"/>
  <c r="F97" i="4"/>
  <c r="F101" i="4" s="1"/>
  <c r="G29" i="11"/>
  <c r="G40" i="11" s="1"/>
  <c r="G70" i="4"/>
  <c r="G78" i="4" s="1"/>
  <c r="G98" i="4" s="1"/>
  <c r="J29" i="11"/>
  <c r="J40" i="11" s="1"/>
  <c r="J70" i="4"/>
  <c r="J78" i="4" s="1"/>
  <c r="J98" i="4" s="1"/>
  <c r="G57" i="4"/>
  <c r="K51" i="11"/>
  <c r="K37" i="11"/>
  <c r="K36" i="11"/>
  <c r="G51" i="11"/>
  <c r="E66" i="4"/>
  <c r="E36" i="11"/>
  <c r="E37" i="11"/>
  <c r="E53" i="11"/>
  <c r="J57" i="4"/>
  <c r="J59" i="4" s="1"/>
  <c r="J51" i="11"/>
  <c r="K66" i="4"/>
  <c r="Q25" i="11" l="1"/>
  <c r="P46" i="4"/>
  <c r="F104" i="4"/>
  <c r="G97" i="4"/>
  <c r="G101" i="4" s="1"/>
  <c r="J39" i="11"/>
  <c r="G39" i="11"/>
  <c r="G36" i="11"/>
  <c r="G37" i="11"/>
  <c r="G59" i="4"/>
  <c r="G66" i="4"/>
  <c r="J66" i="4"/>
  <c r="J36" i="11"/>
  <c r="J37" i="11"/>
  <c r="G53" i="11"/>
  <c r="K53" i="11"/>
  <c r="R25" i="11" l="1"/>
  <c r="Q46" i="4"/>
  <c r="H97" i="4"/>
  <c r="H101" i="4" s="1"/>
  <c r="H104" i="4" s="1"/>
  <c r="G104" i="4"/>
  <c r="J53" i="11"/>
  <c r="R46" i="4" l="1"/>
  <c r="R48" i="4" s="1"/>
  <c r="I97" i="4"/>
  <c r="I101" i="4" s="1"/>
  <c r="J97" i="4" s="1"/>
  <c r="J101" i="4" s="1"/>
  <c r="I104" i="4" l="1"/>
  <c r="J104" i="4"/>
  <c r="K97" i="4"/>
  <c r="K101" i="4" s="1"/>
  <c r="L45" i="11"/>
  <c r="L44" i="11" s="1"/>
  <c r="K104" i="4" l="1"/>
  <c r="L97" i="4"/>
  <c r="L22" i="4"/>
  <c r="L14" i="4"/>
  <c r="L72" i="4" l="1"/>
  <c r="E71" i="11" s="1"/>
  <c r="L47" i="4"/>
  <c r="N45" i="11"/>
  <c r="N44" i="11" s="1"/>
  <c r="L50" i="4" l="1"/>
  <c r="L46" i="11"/>
  <c r="L47" i="11" s="1"/>
  <c r="O45" i="11"/>
  <c r="O44" i="11" s="1"/>
  <c r="N14" i="4"/>
  <c r="N22" i="4" l="1"/>
  <c r="N48" i="4"/>
  <c r="L48" i="11"/>
  <c r="H12" i="11" s="1"/>
  <c r="O14" i="4"/>
  <c r="N47" i="4"/>
  <c r="O22" i="4" l="1"/>
  <c r="O72" i="4" s="1"/>
  <c r="H71" i="11" s="1"/>
  <c r="O48" i="4"/>
  <c r="L53" i="4"/>
  <c r="L87" i="4" s="1"/>
  <c r="L49" i="11"/>
  <c r="L28" i="4"/>
  <c r="N50" i="4"/>
  <c r="N46" i="11"/>
  <c r="P45" i="11"/>
  <c r="P44" i="11" s="1"/>
  <c r="O47" i="4"/>
  <c r="N47" i="11" l="1"/>
  <c r="N48" i="11"/>
  <c r="H14" i="11" s="1"/>
  <c r="O50" i="4"/>
  <c r="O46" i="11"/>
  <c r="P14" i="4"/>
  <c r="P22" i="4" l="1"/>
  <c r="P72" i="4" s="1"/>
  <c r="I71" i="11" s="1"/>
  <c r="P48" i="4"/>
  <c r="N49" i="11"/>
  <c r="O47" i="11"/>
  <c r="N28" i="4"/>
  <c r="O88" i="4"/>
  <c r="O48" i="11"/>
  <c r="O49" i="11" s="1"/>
  <c r="Q45" i="11"/>
  <c r="Q44" i="11" s="1"/>
  <c r="Q14" i="4"/>
  <c r="P47" i="4"/>
  <c r="Q22" i="4" l="1"/>
  <c r="Q72" i="4" s="1"/>
  <c r="J71" i="11" s="1"/>
  <c r="Q48" i="4"/>
  <c r="O28" i="4"/>
  <c r="O53" i="4"/>
  <c r="O87" i="4" s="1"/>
  <c r="P50" i="4"/>
  <c r="P46" i="11"/>
  <c r="R14" i="4"/>
  <c r="R45" i="11"/>
  <c r="R44" i="11" s="1"/>
  <c r="R22" i="4"/>
  <c r="Q47" i="4"/>
  <c r="R72" i="4" l="1"/>
  <c r="P47" i="11"/>
  <c r="P88" i="4"/>
  <c r="P48" i="11"/>
  <c r="P49" i="11" s="1"/>
  <c r="Q50" i="4"/>
  <c r="Q46" i="11"/>
  <c r="R47" i="4"/>
  <c r="K71" i="11"/>
  <c r="Q47" i="11" l="1"/>
  <c r="P53" i="4"/>
  <c r="P87" i="4" s="1"/>
  <c r="P28" i="4"/>
  <c r="Q53" i="4"/>
  <c r="Q87" i="4" s="1"/>
  <c r="Q48" i="11"/>
  <c r="Q49" i="11" s="1"/>
  <c r="R50" i="4"/>
  <c r="R46" i="11"/>
  <c r="R47" i="11" l="1"/>
  <c r="Q28" i="4"/>
  <c r="R48" i="11"/>
  <c r="R49" i="11" s="1"/>
  <c r="Q88" i="4"/>
  <c r="R28" i="4" l="1"/>
  <c r="R88" i="4"/>
  <c r="R53" i="4"/>
  <c r="R87" i="4" s="1"/>
  <c r="L51" i="4" l="1"/>
  <c r="E69" i="11" s="1"/>
  <c r="L18" i="4" l="1"/>
  <c r="L73" i="4"/>
  <c r="L52" i="4"/>
  <c r="E66" i="11" s="1"/>
  <c r="E68" i="11" l="1"/>
  <c r="L40" i="11"/>
  <c r="L50" i="11"/>
  <c r="H9" i="11" s="1"/>
  <c r="M51" i="4"/>
  <c r="F69" i="11" s="1"/>
  <c r="L70" i="4"/>
  <c r="L55" i="4"/>
  <c r="E75" i="11" l="1"/>
  <c r="E77" i="11" s="1"/>
  <c r="L51" i="11"/>
  <c r="M73" i="4"/>
  <c r="M18" i="4"/>
  <c r="L56" i="4"/>
  <c r="L74" i="4" s="1"/>
  <c r="L78" i="4" s="1"/>
  <c r="N51" i="4" l="1"/>
  <c r="G69" i="11" s="1"/>
  <c r="L57" i="4"/>
  <c r="L52" i="11" s="1"/>
  <c r="H15" i="11" s="1"/>
  <c r="L53" i="11" l="1"/>
  <c r="N73" i="4"/>
  <c r="N52" i="4"/>
  <c r="N18" i="4"/>
  <c r="L60" i="4"/>
  <c r="E79" i="11" s="1"/>
  <c r="E81" i="11" s="1"/>
  <c r="L90" i="4"/>
  <c r="L65" i="4"/>
  <c r="L91" i="4"/>
  <c r="G66" i="11" l="1"/>
  <c r="G68" i="11" s="1"/>
  <c r="N40" i="11"/>
  <c r="N50" i="11"/>
  <c r="N70" i="4"/>
  <c r="O51" i="4"/>
  <c r="H69" i="11" s="1"/>
  <c r="L95" i="4"/>
  <c r="L36" i="4"/>
  <c r="L59" i="4"/>
  <c r="L62" i="4" s="1"/>
  <c r="N58" i="11" l="1"/>
  <c r="H11" i="11"/>
  <c r="N51" i="11"/>
  <c r="L66" i="4"/>
  <c r="L63" i="4"/>
  <c r="O18" i="4"/>
  <c r="P51" i="4" s="1"/>
  <c r="I69" i="11" s="1"/>
  <c r="O73" i="4"/>
  <c r="O52" i="4"/>
  <c r="L33" i="4"/>
  <c r="H66" i="11" l="1"/>
  <c r="H68" i="11" s="1"/>
  <c r="H75" i="11" s="1"/>
  <c r="H77" i="11" s="1"/>
  <c r="O40" i="11"/>
  <c r="O50" i="11"/>
  <c r="O58" i="11" s="1"/>
  <c r="P18" i="4"/>
  <c r="Q51" i="4" s="1"/>
  <c r="L55" i="11"/>
  <c r="L56" i="11" s="1"/>
  <c r="O55" i="4"/>
  <c r="O70" i="4"/>
  <c r="P52" i="4"/>
  <c r="P73" i="4"/>
  <c r="L35" i="4"/>
  <c r="L38" i="4" s="1"/>
  <c r="L39" i="11" s="1"/>
  <c r="I66" i="11" l="1"/>
  <c r="I68" i="11" s="1"/>
  <c r="I75" i="11" s="1"/>
  <c r="I77" i="11" s="1"/>
  <c r="P40" i="11"/>
  <c r="Q18" i="4"/>
  <c r="R51" i="4" s="1"/>
  <c r="J69" i="11"/>
  <c r="O51" i="11"/>
  <c r="P50" i="11"/>
  <c r="P58" i="11" s="1"/>
  <c r="P55" i="4"/>
  <c r="P70" i="4"/>
  <c r="Q73" i="4"/>
  <c r="Q52" i="4"/>
  <c r="O56" i="4"/>
  <c r="O74" i="4" s="1"/>
  <c r="O78" i="4" s="1"/>
  <c r="Q40" i="11" l="1"/>
  <c r="Q50" i="11"/>
  <c r="J66" i="11"/>
  <c r="J68" i="11" s="1"/>
  <c r="J75" i="11" s="1"/>
  <c r="J77" i="11" s="1"/>
  <c r="R18" i="4"/>
  <c r="K69" i="11"/>
  <c r="P51" i="11"/>
  <c r="O57" i="4"/>
  <c r="R52" i="4"/>
  <c r="R73" i="4"/>
  <c r="Q55" i="4"/>
  <c r="Q70" i="4"/>
  <c r="P56" i="4"/>
  <c r="P74" i="4" s="1"/>
  <c r="P78" i="4" s="1"/>
  <c r="Q51" i="11" l="1"/>
  <c r="Q58" i="11"/>
  <c r="R40" i="11"/>
  <c r="R50" i="11"/>
  <c r="K66" i="11"/>
  <c r="L66" i="11" s="1"/>
  <c r="O90" i="4"/>
  <c r="O52" i="11"/>
  <c r="O53" i="11" s="1"/>
  <c r="O91" i="4"/>
  <c r="O65" i="4"/>
  <c r="O60" i="4"/>
  <c r="P57" i="4"/>
  <c r="R55" i="4"/>
  <c r="R70" i="4"/>
  <c r="Q56" i="4"/>
  <c r="Q74" i="4" s="1"/>
  <c r="Q78" i="4" s="1"/>
  <c r="L68" i="11" l="1"/>
  <c r="R51" i="11"/>
  <c r="R58" i="11"/>
  <c r="K68" i="11"/>
  <c r="K75" i="11" s="1"/>
  <c r="K77" i="11" s="1"/>
  <c r="L72" i="11"/>
  <c r="O59" i="4"/>
  <c r="H79" i="11"/>
  <c r="H81" i="11" s="1"/>
  <c r="O95" i="4"/>
  <c r="O98" i="4" s="1"/>
  <c r="P60" i="4"/>
  <c r="P52" i="11"/>
  <c r="P53" i="11" s="1"/>
  <c r="P91" i="4"/>
  <c r="P90" i="4"/>
  <c r="P65" i="4"/>
  <c r="Q57" i="4"/>
  <c r="R56" i="4"/>
  <c r="R74" i="4" s="1"/>
  <c r="R78" i="4" s="1"/>
  <c r="O62" i="4" l="1"/>
  <c r="O63" i="4" s="1"/>
  <c r="O55" i="11" s="1"/>
  <c r="O56" i="11" s="1"/>
  <c r="L69" i="11"/>
  <c r="L70" i="11"/>
  <c r="O66" i="4"/>
  <c r="P59" i="4"/>
  <c r="I79" i="11"/>
  <c r="Q90" i="4"/>
  <c r="Q52" i="11"/>
  <c r="Q53" i="11" s="1"/>
  <c r="P95" i="4"/>
  <c r="P98" i="4" s="1"/>
  <c r="Q91" i="4"/>
  <c r="Q60" i="4"/>
  <c r="R57" i="4"/>
  <c r="Q65" i="4"/>
  <c r="P62" i="4" l="1"/>
  <c r="P63" i="4" s="1"/>
  <c r="P55" i="11" s="1"/>
  <c r="P56" i="11" s="1"/>
  <c r="Q59" i="4"/>
  <c r="J79" i="11"/>
  <c r="J81" i="11" s="1"/>
  <c r="I81" i="11"/>
  <c r="L79" i="11"/>
  <c r="L80" i="11" s="1"/>
  <c r="L81" i="11" s="1"/>
  <c r="P66" i="4"/>
  <c r="Q95" i="4"/>
  <c r="Q98" i="4" s="1"/>
  <c r="R91" i="4"/>
  <c r="R52" i="11"/>
  <c r="R53" i="11" s="1"/>
  <c r="R65" i="4"/>
  <c r="R60" i="4"/>
  <c r="R90" i="4"/>
  <c r="Q62" i="4" l="1"/>
  <c r="Q63" i="4" s="1"/>
  <c r="Q55" i="11" s="1"/>
  <c r="Q56" i="11" s="1"/>
  <c r="Q66" i="4"/>
  <c r="R59" i="4"/>
  <c r="K79" i="11"/>
  <c r="K81" i="11" s="1"/>
  <c r="R95" i="4"/>
  <c r="R98" i="4" s="1"/>
  <c r="R66" i="4" l="1"/>
  <c r="R62" i="4"/>
  <c r="R63" i="4" s="1"/>
  <c r="R55" i="11" s="1"/>
  <c r="R56" i="11" s="1"/>
  <c r="L86" i="4" l="1"/>
  <c r="L98" i="4" l="1"/>
  <c r="L101" i="4" s="1"/>
  <c r="M45" i="11"/>
  <c r="M44" i="11" s="1"/>
  <c r="M14" i="4"/>
  <c r="M22" i="4" l="1"/>
  <c r="M48" i="4"/>
  <c r="M47" i="4"/>
  <c r="L12" i="4"/>
  <c r="F58" i="11" s="1"/>
  <c r="M97" i="4"/>
  <c r="M72" i="4" l="1"/>
  <c r="F71" i="11" s="1"/>
  <c r="N72" i="4"/>
  <c r="G71" i="11" s="1"/>
  <c r="G75" i="11" s="1"/>
  <c r="G77" i="11" s="1"/>
  <c r="L103" i="4"/>
  <c r="L104" i="4" s="1"/>
  <c r="L20" i="4"/>
  <c r="L30" i="4" s="1"/>
  <c r="L40" i="4" s="1"/>
  <c r="M46" i="11"/>
  <c r="M47" i="11" s="1"/>
  <c r="M50" i="4"/>
  <c r="L71" i="11" l="1"/>
  <c r="L75" i="11" s="1"/>
  <c r="L76" i="11" s="1"/>
  <c r="L77" i="11" s="1"/>
  <c r="M48" i="11"/>
  <c r="H13" i="11" s="1"/>
  <c r="M52" i="4"/>
  <c r="M40" i="11" l="1"/>
  <c r="F66" i="11"/>
  <c r="F68" i="11" s="1"/>
  <c r="F75" i="11" s="1"/>
  <c r="F77" i="11" s="1"/>
  <c r="D84" i="11" s="1"/>
  <c r="E59" i="11" s="1"/>
  <c r="M70" i="4"/>
  <c r="M50" i="11"/>
  <c r="M53" i="4"/>
  <c r="N88" i="4"/>
  <c r="M88" i="4"/>
  <c r="M28" i="4"/>
  <c r="N53" i="4"/>
  <c r="M49" i="11"/>
  <c r="M58" i="11" l="1"/>
  <c r="H10" i="11"/>
  <c r="P59" i="11"/>
  <c r="H59" i="11"/>
  <c r="O59" i="11"/>
  <c r="G59" i="11"/>
  <c r="L59" i="11"/>
  <c r="I59" i="11"/>
  <c r="N59" i="11"/>
  <c r="F59" i="11"/>
  <c r="M59" i="11"/>
  <c r="Q59" i="11"/>
  <c r="K59" i="11"/>
  <c r="R59" i="11"/>
  <c r="J59" i="11"/>
  <c r="N55" i="4"/>
  <c r="N87" i="4"/>
  <c r="M87" i="4"/>
  <c r="M55" i="4"/>
  <c r="M56" i="4" s="1"/>
  <c r="M74" i="4" s="1"/>
  <c r="M78" i="4" s="1"/>
  <c r="M51" i="11"/>
  <c r="D89" i="11"/>
  <c r="M57" i="4" l="1"/>
  <c r="M52" i="11" s="1"/>
  <c r="H16" i="11" s="1"/>
  <c r="N56" i="4"/>
  <c r="N74" i="4" s="1"/>
  <c r="N78" i="4" s="1"/>
  <c r="M90" i="4" l="1"/>
  <c r="M60" i="4"/>
  <c r="M59" i="4" s="1"/>
  <c r="M65" i="4"/>
  <c r="M91" i="4"/>
  <c r="N57" i="4"/>
  <c r="M53" i="11"/>
  <c r="F79" i="11"/>
  <c r="F81" i="11" s="1"/>
  <c r="M95" i="4" l="1"/>
  <c r="M98" i="4" s="1"/>
  <c r="M101" i="4" s="1"/>
  <c r="M12" i="4" s="1"/>
  <c r="G58" i="11" s="1"/>
  <c r="M36" i="4"/>
  <c r="M62" i="4"/>
  <c r="M63" i="4" s="1"/>
  <c r="M55" i="11" s="1"/>
  <c r="M56" i="11" s="1"/>
  <c r="M33" i="4"/>
  <c r="N60" i="4"/>
  <c r="G79" i="11" s="1"/>
  <c r="G81" i="11" s="1"/>
  <c r="D90" i="11" s="1"/>
  <c r="D91" i="11" s="1"/>
  <c r="D93" i="11" s="1"/>
  <c r="H85" i="11" s="1"/>
  <c r="N90" i="4"/>
  <c r="N52" i="11"/>
  <c r="H17" i="11" s="1"/>
  <c r="N91" i="4"/>
  <c r="N65" i="4"/>
  <c r="M66" i="4"/>
  <c r="N97" i="4" l="1"/>
  <c r="N59" i="4"/>
  <c r="H86" i="11"/>
  <c r="H87" i="11"/>
  <c r="D16" i="11"/>
  <c r="D17" i="11" s="1"/>
  <c r="N53" i="11"/>
  <c r="N95" i="4"/>
  <c r="N36" i="4"/>
  <c r="O36" i="4" s="1"/>
  <c r="P36" i="4" s="1"/>
  <c r="Q36" i="4" s="1"/>
  <c r="R36" i="4" s="1"/>
  <c r="M20" i="4"/>
  <c r="M30" i="4" s="1"/>
  <c r="M103" i="4"/>
  <c r="M104" i="4" s="1"/>
  <c r="M35" i="4"/>
  <c r="M38" i="4" s="1"/>
  <c r="M39" i="11" s="1"/>
  <c r="N98" i="4" l="1"/>
  <c r="N101" i="4" s="1"/>
  <c r="N62" i="4"/>
  <c r="N63" i="4" s="1"/>
  <c r="N55" i="11" s="1"/>
  <c r="N56" i="11" s="1"/>
  <c r="M40" i="4"/>
  <c r="N33" i="4"/>
  <c r="O33" i="4" s="1"/>
  <c r="N66" i="4"/>
  <c r="E7" i="6" s="1"/>
  <c r="O97" i="4" l="1"/>
  <c r="O101" i="4" s="1"/>
  <c r="P97" i="4" s="1"/>
  <c r="P101" i="4" s="1"/>
  <c r="Q97" i="4" s="1"/>
  <c r="Q101" i="4" s="1"/>
  <c r="N12" i="4"/>
  <c r="N20" i="4" s="1"/>
  <c r="N30" i="4" s="1"/>
  <c r="N35" i="4"/>
  <c r="N38" i="4" s="1"/>
  <c r="N39" i="11" s="1"/>
  <c r="O35" i="4"/>
  <c r="O38" i="4" s="1"/>
  <c r="O39" i="11" s="1"/>
  <c r="P33" i="4"/>
  <c r="O12" i="4" l="1"/>
  <c r="O103" i="4" s="1"/>
  <c r="O104" i="4" s="1"/>
  <c r="N103" i="4"/>
  <c r="N104" i="4" s="1"/>
  <c r="H58" i="11"/>
  <c r="P12" i="4"/>
  <c r="J58" i="11" s="1"/>
  <c r="N40" i="4"/>
  <c r="Q12" i="4"/>
  <c r="K58" i="11" s="1"/>
  <c r="R97" i="4"/>
  <c r="R101" i="4" s="1"/>
  <c r="R12" i="4" s="1"/>
  <c r="L58" i="11" s="1"/>
  <c r="P35" i="4"/>
  <c r="P38" i="4" s="1"/>
  <c r="P39" i="11" s="1"/>
  <c r="Q33" i="4"/>
  <c r="I58" i="11" l="1"/>
  <c r="O20" i="4"/>
  <c r="O30" i="4" s="1"/>
  <c r="O40" i="4" s="1"/>
  <c r="E6" i="6" s="1"/>
  <c r="E8" i="6"/>
  <c r="P20" i="4"/>
  <c r="P30" i="4" s="1"/>
  <c r="P40" i="4" s="1"/>
  <c r="P103" i="4"/>
  <c r="P104" i="4" s="1"/>
  <c r="R33" i="4"/>
  <c r="R35" i="4" s="1"/>
  <c r="R38" i="4" s="1"/>
  <c r="R39" i="11" s="1"/>
  <c r="Q35" i="4"/>
  <c r="Q38" i="4" s="1"/>
  <c r="Q39" i="11" s="1"/>
  <c r="R20" i="4"/>
  <c r="R30" i="4" s="1"/>
  <c r="R103" i="4"/>
  <c r="R104" i="4" s="1"/>
  <c r="Q103" i="4"/>
  <c r="Q104" i="4" s="1"/>
  <c r="Q20" i="4"/>
  <c r="Q30" i="4" s="1"/>
  <c r="E10" i="6" l="1"/>
  <c r="B3" i="6" s="1"/>
  <c r="Q40" i="4"/>
  <c r="R40" i="4"/>
  <c r="B3" i="4" l="1"/>
  <c r="B3" i="11"/>
  <c r="B3" i="1"/>
  <c r="B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Moss</author>
  </authors>
  <commentList>
    <comment ref="E10" authorId="0" shapeId="0" xr:uid="{B50D12CF-7423-46FB-9FE4-A79E00D8E050}">
      <text>
        <r>
          <rPr>
            <sz val="9"/>
            <color indexed="81"/>
            <rFont val="Tahoma"/>
            <family val="2"/>
          </rPr>
          <t>https://www.marketwatch.com/investing/bond/tmbmkgb-20y?countrycode=bx</t>
        </r>
      </text>
    </comment>
    <comment ref="E11" authorId="0" shapeId="0" xr:uid="{C18BD819-1337-4F6A-A2B7-FD7FA25CEEF5}">
      <text>
        <r>
          <rPr>
            <sz val="9"/>
            <color indexed="81"/>
            <rFont val="Tahoma"/>
            <family val="2"/>
          </rPr>
          <t>https://pages.stern.nyu.edu/~adamodar/New_Home_Page/datafile/ctryprem.html</t>
        </r>
      </text>
    </comment>
    <comment ref="E15" authorId="0" shapeId="0" xr:uid="{DD8E3227-1687-456B-B4E4-B05D8AF036CD}">
      <text>
        <r>
          <rPr>
            <b/>
            <sz val="9"/>
            <color indexed="81"/>
            <rFont val="Tahoma"/>
            <family val="2"/>
          </rPr>
          <t>https://aswathdamodaran.blogspot.com/2015/04/the-small-cap-premium-fact-fiction-and.html</t>
        </r>
      </text>
    </comment>
  </commentList>
</comments>
</file>

<file path=xl/sharedStrings.xml><?xml version="1.0" encoding="utf-8"?>
<sst xmlns="http://schemas.openxmlformats.org/spreadsheetml/2006/main" count="231" uniqueCount="204">
  <si>
    <t>Company name</t>
  </si>
  <si>
    <t>Ticker</t>
  </si>
  <si>
    <t>MODEL STRUCTURE</t>
  </si>
  <si>
    <t>Currency</t>
  </si>
  <si>
    <t>Company information</t>
  </si>
  <si>
    <t>Calendar</t>
  </si>
  <si>
    <t>Model date</t>
  </si>
  <si>
    <t>Q1 trading update</t>
  </si>
  <si>
    <t>Q3 trading update</t>
  </si>
  <si>
    <t>Full year results</t>
  </si>
  <si>
    <t>Half year results</t>
  </si>
  <si>
    <t>Reporting</t>
  </si>
  <si>
    <t>date</t>
  </si>
  <si>
    <t>Results</t>
  </si>
  <si>
    <t>FINANCIALS</t>
  </si>
  <si>
    <t>Cash</t>
  </si>
  <si>
    <t>Date</t>
  </si>
  <si>
    <t>Trade &amp; other receivables</t>
  </si>
  <si>
    <t>Current tax assets</t>
  </si>
  <si>
    <t>Other non-operating assets</t>
  </si>
  <si>
    <t>Deferred tax assets</t>
  </si>
  <si>
    <t>Total assets</t>
  </si>
  <si>
    <t>Investment in associates/JVs</t>
  </si>
  <si>
    <t>Total liabilities</t>
  </si>
  <si>
    <t>Borrowings</t>
  </si>
  <si>
    <t>Trade &amp; other payables</t>
  </si>
  <si>
    <t>Provisions</t>
  </si>
  <si>
    <t>Current tax liabilities</t>
  </si>
  <si>
    <t>Deferred tax liabilities</t>
  </si>
  <si>
    <t>Net assets</t>
  </si>
  <si>
    <t>Share capital &amp; share premium</t>
  </si>
  <si>
    <t>Retained earnings</t>
  </si>
  <si>
    <t>Reserves</t>
  </si>
  <si>
    <t>Equity attributable to shareholders</t>
  </si>
  <si>
    <t>Non-controlling interest</t>
  </si>
  <si>
    <t>Total equity</t>
  </si>
  <si>
    <t>Check</t>
  </si>
  <si>
    <t>CHECKS</t>
  </si>
  <si>
    <t>Financials - BS</t>
  </si>
  <si>
    <t>Financials - PnL</t>
  </si>
  <si>
    <t>Financials - CF</t>
  </si>
  <si>
    <t>Other non-operating liabilities</t>
  </si>
  <si>
    <t>Last HY results available</t>
  </si>
  <si>
    <t>P&amp;L</t>
  </si>
  <si>
    <t>BALANCE SHEET</t>
  </si>
  <si>
    <t>Cost of sales</t>
  </si>
  <si>
    <t>Gross profit</t>
  </si>
  <si>
    <t>Admin expenses exc. D&amp;A</t>
  </si>
  <si>
    <t>EBITDA</t>
  </si>
  <si>
    <t>Depreciation &amp; Amortisation</t>
  </si>
  <si>
    <t>EBIT</t>
  </si>
  <si>
    <t>Profit before tax</t>
  </si>
  <si>
    <t>Tax</t>
  </si>
  <si>
    <t>Profit for the period</t>
  </si>
  <si>
    <t>Expected value</t>
  </si>
  <si>
    <t>Months in period</t>
  </si>
  <si>
    <t>Profit attributable to shareholders</t>
  </si>
  <si>
    <t>Profit attributable to NCI</t>
  </si>
  <si>
    <t>Interest expense</t>
  </si>
  <si>
    <t>Other investment income/expense</t>
  </si>
  <si>
    <t>Basic EPS (pence)</t>
  </si>
  <si>
    <t>Diluted EPS (pence)</t>
  </si>
  <si>
    <t>CASHFLOW</t>
  </si>
  <si>
    <t>Cash generated from operations</t>
  </si>
  <si>
    <t>Cash used in investing activities</t>
  </si>
  <si>
    <t>Cash used in financing activities</t>
  </si>
  <si>
    <t>Opening cash balance</t>
  </si>
  <si>
    <t>Closing cash balance</t>
  </si>
  <si>
    <t>FX impact on cash</t>
  </si>
  <si>
    <t>Net increase/decrease in cash</t>
  </si>
  <si>
    <t>Other</t>
  </si>
  <si>
    <t>Operating profit</t>
  </si>
  <si>
    <t>Change in NWC</t>
  </si>
  <si>
    <t>Depreciation &amp; amortisation</t>
  </si>
  <si>
    <t>Tax paid</t>
  </si>
  <si>
    <t>Sale of PPE &amp; Intangibles</t>
  </si>
  <si>
    <t>Sale of subsidiaries</t>
  </si>
  <si>
    <t>Acquisitions</t>
  </si>
  <si>
    <t>Interest paid</t>
  </si>
  <si>
    <t>Change in borrowings</t>
  </si>
  <si>
    <t>Share buyback</t>
  </si>
  <si>
    <t>Dividends to NCI</t>
  </si>
  <si>
    <t>Dividends to shareholders</t>
  </si>
  <si>
    <t>Interest expense (as % borrowings)</t>
  </si>
  <si>
    <t>Effective tax rate %</t>
  </si>
  <si>
    <t>Depreciation &amp; amortisation (as % y-1 NCA)</t>
  </si>
  <si>
    <t>Receivables days</t>
  </si>
  <si>
    <t>Payables days</t>
  </si>
  <si>
    <t>Dividend payout ratio %</t>
  </si>
  <si>
    <t>Profit share to NCI</t>
  </si>
  <si>
    <t>CAPEX spend</t>
  </si>
  <si>
    <t>WACC</t>
  </si>
  <si>
    <t>Unlevered Beta</t>
  </si>
  <si>
    <t>D/E Ratio</t>
  </si>
  <si>
    <t>Tax Rate</t>
  </si>
  <si>
    <t>Levered Beta</t>
  </si>
  <si>
    <t>Rf</t>
  </si>
  <si>
    <t>ERP</t>
  </si>
  <si>
    <t>Small Cap Premum</t>
  </si>
  <si>
    <t>Ke</t>
  </si>
  <si>
    <t>Selected Ke</t>
  </si>
  <si>
    <t>Kd</t>
  </si>
  <si>
    <t>Post-tax Kd</t>
  </si>
  <si>
    <t>Selected WACC</t>
  </si>
  <si>
    <t>Risk free rate</t>
  </si>
  <si>
    <t>Equity risk premium</t>
  </si>
  <si>
    <t>Cost of debt</t>
  </si>
  <si>
    <t>Discount Rate</t>
  </si>
  <si>
    <t>Perpetural Growth Rate</t>
  </si>
  <si>
    <t>Valuation Date</t>
  </si>
  <si>
    <t>Entry</t>
  </si>
  <si>
    <t>Terminal</t>
  </si>
  <si>
    <t>Year Fraction</t>
  </si>
  <si>
    <t>Less: Cash Taxes</t>
  </si>
  <si>
    <t>Plus: D&amp;A</t>
  </si>
  <si>
    <t>Less: Capex</t>
  </si>
  <si>
    <t>Less: Changes in NWC</t>
  </si>
  <si>
    <t>Market Value vs Intrinsic Value</t>
  </si>
  <si>
    <t>Unlevered FCF</t>
  </si>
  <si>
    <t>Market Value</t>
  </si>
  <si>
    <t>Intrinsic Value</t>
  </si>
  <si>
    <t>Enterprise Value</t>
  </si>
  <si>
    <t>Less: net debt</t>
  </si>
  <si>
    <t>Equity Value</t>
  </si>
  <si>
    <t>Equity Value/Share</t>
  </si>
  <si>
    <t>Inputs</t>
  </si>
  <si>
    <t>Tax rate for WACC</t>
  </si>
  <si>
    <t>Unlevered beta - high</t>
  </si>
  <si>
    <t>Small cap premium</t>
  </si>
  <si>
    <t>Balance sheet date</t>
  </si>
  <si>
    <t>Terminal value</t>
  </si>
  <si>
    <t>Discounted cashflow</t>
  </si>
  <si>
    <t>Upside (p)</t>
  </si>
  <si>
    <t>Upside %</t>
  </si>
  <si>
    <t>30% margin of safety point</t>
  </si>
  <si>
    <t>Valuation date</t>
  </si>
  <si>
    <t>Perpetual bonds</t>
  </si>
  <si>
    <t>Dividends from associates</t>
  </si>
  <si>
    <t>Purchase of PPE &amp; intangibles</t>
  </si>
  <si>
    <t>Coupon paid on perpetual bond</t>
  </si>
  <si>
    <t>BS ROIC %</t>
  </si>
  <si>
    <t>Mcap ROIC %</t>
  </si>
  <si>
    <t>Add: non-operating assets</t>
  </si>
  <si>
    <t>Less: non-operating liabilities</t>
  </si>
  <si>
    <t>Coupon to pref shares</t>
  </si>
  <si>
    <t>Value to NCI</t>
  </si>
  <si>
    <t>Shareholder value</t>
  </si>
  <si>
    <t>Time period fraction</t>
  </si>
  <si>
    <t>PPE &amp; intangibles</t>
  </si>
  <si>
    <t>Other adj. to equity value</t>
  </si>
  <si>
    <t>Current Price (p)</t>
  </si>
  <si>
    <t>SUMMARY</t>
  </si>
  <si>
    <t>DISCOUNT RATE</t>
  </si>
  <si>
    <t>GP Margin %</t>
  </si>
  <si>
    <t>Net profit margin %</t>
  </si>
  <si>
    <t>EBITDA margin %</t>
  </si>
  <si>
    <t>Diluted EPS</t>
  </si>
  <si>
    <t>Price to earnings ratio</t>
  </si>
  <si>
    <t>EBIT margin %</t>
  </si>
  <si>
    <t>EV to EBIT ratio - actual</t>
  </si>
  <si>
    <t>EV to EBIT ratio - implied by valuation</t>
  </si>
  <si>
    <t>Margin of safety</t>
  </si>
  <si>
    <t>Tax rate</t>
  </si>
  <si>
    <t>DCF equity value per share</t>
  </si>
  <si>
    <t>Multiples</t>
  </si>
  <si>
    <t>EV/EBITDA (Current)</t>
  </si>
  <si>
    <t>EV/EBITDA (Y+2)</t>
  </si>
  <si>
    <t>EV/EBITDA (Y+1)</t>
  </si>
  <si>
    <t>EV/EBIT (Y+2)</t>
  </si>
  <si>
    <t>EV/EBIT (Y+1)</t>
  </si>
  <si>
    <t>EV/EBIT (Current)</t>
  </si>
  <si>
    <t>P/E (Current)</t>
  </si>
  <si>
    <t>P/E (Y+1)</t>
  </si>
  <si>
    <t>P/E (Y+2)</t>
  </si>
  <si>
    <t>QUANT VALUE INVESTING</t>
  </si>
  <si>
    <t>METRICS</t>
  </si>
  <si>
    <t>Discounted value to NCI</t>
  </si>
  <si>
    <t>Terminal NCI value</t>
  </si>
  <si>
    <t>Manolete Partners Plc</t>
  </si>
  <si>
    <t>LSE:MANO</t>
  </si>
  <si>
    <t>Investments in cases</t>
  </si>
  <si>
    <t>£000</t>
  </si>
  <si>
    <t>Net realised gains on cases</t>
  </si>
  <si>
    <t>Fair value movements on cases</t>
  </si>
  <si>
    <t>FV movement on cases</t>
  </si>
  <si>
    <t>Net interest paid</t>
  </si>
  <si>
    <t>Investment in cases</t>
  </si>
  <si>
    <t>Issue of ordinary shares</t>
  </si>
  <si>
    <t>volvere plc</t>
  </si>
  <si>
    <t>jakks pacific inc</t>
  </si>
  <si>
    <t>Exceptional costs</t>
  </si>
  <si>
    <t>Realised prepaid costs</t>
  </si>
  <si>
    <t>Realised revenue</t>
  </si>
  <si>
    <t>Realised revenue (annualised)</t>
  </si>
  <si>
    <t>Est. fully diluted shares</t>
  </si>
  <si>
    <t>Cost of sale (as % realised revenue)</t>
  </si>
  <si>
    <t>Market cap.</t>
  </si>
  <si>
    <t>Realisation of prepaid costs</t>
  </si>
  <si>
    <t>Debt / 3yr avg investment costs</t>
  </si>
  <si>
    <t>Less: Net investment in cases</t>
  </si>
  <si>
    <t>Expenses (as % CoS)</t>
  </si>
  <si>
    <t>Investment in cases (T minus 6m to 18m)</t>
  </si>
  <si>
    <t>Realised revenue / investment spend (6m to 18m)</t>
  </si>
  <si>
    <t>SUMMARY FINANCIALS (EXCLUDES FV MOVEMENT ON CASES)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</si>
</sst>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£&quot;#,##0;[Red]\-&quot;£&quot;#,##0"/>
    <numFmt numFmtId="43" formatCode="_-* #,##0.00_-;\-* #,##0.00_-;_-* &quot;-&quot;??_-;_-@_-"/>
    <numFmt numFmtId="164" formatCode="_-* #,##0_-;\-* #,##0_-;_-* &quot;-&quot;??_-;_-@_-"/>
    <numFmt numFmtId="165" formatCode="#,##0;&quot;(&quot;#,##0&quot;)&quot;"/>
    <numFmt numFmtId="166" formatCode="#,##0.0;&quot;(&quot;#,##0.0&quot;)&quot;"/>
    <numFmt numFmtId="167" formatCode="0.0%"/>
    <numFmt numFmtId="168" formatCode="0.0&quot;x&quot;"/>
    <numFmt numFmtId="169" formatCode="0.00&quot;x&quot;"/>
    <numFmt numFmtId="170" formatCode="_-* #,##0.0_-;\-* #,##0.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b/>
      <i/>
      <sz val="26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6" borderId="0"/>
  </cellStyleXfs>
  <cellXfs count="92">
    <xf numFmtId="0" fontId="0" fillId="0" borderId="0" xfId="0"/>
    <xf numFmtId="0" fontId="0" fillId="3" borderId="0" xfId="0" applyFill="1"/>
    <xf numFmtId="0" fontId="2" fillId="4" borderId="0" xfId="0" applyFont="1" applyFill="1"/>
    <xf numFmtId="0" fontId="0" fillId="4" borderId="0" xfId="0" applyFill="1"/>
    <xf numFmtId="0" fontId="0" fillId="4" borderId="0" xfId="0" applyFill="1" applyAlignment="1">
      <alignment horizontal="right"/>
    </xf>
    <xf numFmtId="0" fontId="2" fillId="4" borderId="0" xfId="0" applyFont="1" applyFill="1" applyAlignment="1">
      <alignment horizontal="right"/>
    </xf>
    <xf numFmtId="0" fontId="0" fillId="2" borderId="2" xfId="1" applyFont="1" applyBorder="1"/>
    <xf numFmtId="14" fontId="0" fillId="2" borderId="2" xfId="1" applyNumberFormat="1" applyFont="1" applyBorder="1"/>
    <xf numFmtId="0" fontId="0" fillId="3" borderId="0" xfId="0" applyFill="1" applyAlignment="1">
      <alignment horizontal="right"/>
    </xf>
    <xf numFmtId="0" fontId="0" fillId="2" borderId="3" xfId="1" applyFont="1" applyBorder="1" applyAlignment="1">
      <alignment horizontal="right"/>
    </xf>
    <xf numFmtId="14" fontId="0" fillId="2" borderId="3" xfId="1" applyNumberFormat="1" applyFont="1" applyBorder="1" applyAlignment="1">
      <alignment horizontal="right"/>
    </xf>
    <xf numFmtId="16" fontId="0" fillId="2" borderId="1" xfId="1" applyNumberFormat="1" applyFont="1"/>
    <xf numFmtId="16" fontId="0" fillId="3" borderId="1" xfId="1" applyNumberFormat="1" applyFont="1" applyFill="1"/>
    <xf numFmtId="0" fontId="0" fillId="3" borderId="4" xfId="0" applyFill="1" applyBorder="1" applyAlignment="1">
      <alignment horizontal="right"/>
    </xf>
    <xf numFmtId="0" fontId="3" fillId="3" borderId="4" xfId="0" applyFont="1" applyFill="1" applyBorder="1"/>
    <xf numFmtId="0" fontId="0" fillId="3" borderId="4" xfId="0" applyFill="1" applyBorder="1"/>
    <xf numFmtId="14" fontId="0" fillId="3" borderId="0" xfId="0" applyNumberFormat="1" applyFill="1"/>
    <xf numFmtId="0" fontId="4" fillId="3" borderId="5" xfId="0" applyFont="1" applyFill="1" applyBorder="1"/>
    <xf numFmtId="43" fontId="0" fillId="3" borderId="0" xfId="2" applyFont="1" applyFill="1"/>
    <xf numFmtId="164" fontId="0" fillId="3" borderId="0" xfId="2" applyNumberFormat="1" applyFont="1" applyFill="1"/>
    <xf numFmtId="164" fontId="0" fillId="3" borderId="0" xfId="2" applyNumberFormat="1" applyFont="1" applyFill="1" applyAlignment="1">
      <alignment horizontal="right"/>
    </xf>
    <xf numFmtId="0" fontId="5" fillId="3" borderId="0" xfId="0" applyFont="1" applyFill="1"/>
    <xf numFmtId="0" fontId="7" fillId="3" borderId="0" xfId="0" applyFont="1" applyFill="1" applyAlignment="1">
      <alignment horizontal="right"/>
    </xf>
    <xf numFmtId="165" fontId="6" fillId="3" borderId="0" xfId="2" applyNumberFormat="1" applyFont="1" applyFill="1" applyAlignment="1">
      <alignment horizontal="right"/>
    </xf>
    <xf numFmtId="165" fontId="0" fillId="3" borderId="0" xfId="2" applyNumberFormat="1" applyFont="1" applyFill="1"/>
    <xf numFmtId="0" fontId="8" fillId="3" borderId="0" xfId="0" applyFont="1" applyFill="1"/>
    <xf numFmtId="165" fontId="0" fillId="3" borderId="5" xfId="2" applyNumberFormat="1" applyFont="1" applyFill="1" applyBorder="1"/>
    <xf numFmtId="14" fontId="0" fillId="3" borderId="0" xfId="1" applyNumberFormat="1" applyFont="1" applyFill="1" applyBorder="1"/>
    <xf numFmtId="14" fontId="0" fillId="3" borderId="0" xfId="1" applyNumberFormat="1" applyFont="1" applyFill="1" applyBorder="1" applyAlignment="1">
      <alignment horizontal="right"/>
    </xf>
    <xf numFmtId="164" fontId="9" fillId="5" borderId="0" xfId="2" applyNumberFormat="1" applyFont="1" applyFill="1"/>
    <xf numFmtId="166" fontId="0" fillId="3" borderId="0" xfId="2" applyNumberFormat="1" applyFont="1" applyFill="1"/>
    <xf numFmtId="167" fontId="0" fillId="3" borderId="0" xfId="3" applyNumberFormat="1" applyFont="1" applyFill="1"/>
    <xf numFmtId="166" fontId="6" fillId="3" borderId="0" xfId="2" applyNumberFormat="1" applyFont="1" applyFill="1" applyAlignment="1">
      <alignment horizontal="right"/>
    </xf>
    <xf numFmtId="43" fontId="0" fillId="0" borderId="1" xfId="2" applyFont="1" applyFill="1" applyBorder="1"/>
    <xf numFmtId="10" fontId="0" fillId="0" borderId="1" xfId="3" applyNumberFormat="1" applyFont="1" applyFill="1" applyBorder="1"/>
    <xf numFmtId="10" fontId="0" fillId="3" borderId="0" xfId="0" applyNumberFormat="1" applyFill="1"/>
    <xf numFmtId="43" fontId="0" fillId="3" borderId="1" xfId="2" applyFont="1" applyFill="1" applyBorder="1"/>
    <xf numFmtId="10" fontId="0" fillId="3" borderId="1" xfId="1" applyNumberFormat="1" applyFont="1" applyFill="1"/>
    <xf numFmtId="2" fontId="0" fillId="3" borderId="0" xfId="0" applyNumberFormat="1" applyFill="1"/>
    <xf numFmtId="164" fontId="0" fillId="3" borderId="0" xfId="0" applyNumberFormat="1" applyFill="1"/>
    <xf numFmtId="0" fontId="4" fillId="3" borderId="0" xfId="0" applyFont="1" applyFill="1"/>
    <xf numFmtId="164" fontId="4" fillId="3" borderId="0" xfId="2" applyNumberFormat="1" applyFont="1" applyFill="1"/>
    <xf numFmtId="10" fontId="0" fillId="3" borderId="1" xfId="3" applyNumberFormat="1" applyFont="1" applyFill="1" applyBorder="1"/>
    <xf numFmtId="0" fontId="10" fillId="3" borderId="0" xfId="0" applyFont="1" applyFill="1"/>
    <xf numFmtId="9" fontId="5" fillId="3" borderId="0" xfId="3" applyFont="1" applyFill="1"/>
    <xf numFmtId="165" fontId="0" fillId="3" borderId="0" xfId="2" applyNumberFormat="1" applyFont="1" applyFill="1" applyBorder="1"/>
    <xf numFmtId="9" fontId="5" fillId="3" borderId="0" xfId="3" applyFont="1" applyFill="1" applyBorder="1"/>
    <xf numFmtId="0" fontId="0" fillId="3" borderId="6" xfId="0" applyFill="1" applyBorder="1"/>
    <xf numFmtId="165" fontId="0" fillId="3" borderId="6" xfId="2" applyNumberFormat="1" applyFont="1" applyFill="1" applyBorder="1"/>
    <xf numFmtId="0" fontId="5" fillId="3" borderId="6" xfId="0" applyFont="1" applyFill="1" applyBorder="1"/>
    <xf numFmtId="9" fontId="5" fillId="3" borderId="6" xfId="3" applyFont="1" applyFill="1" applyBorder="1"/>
    <xf numFmtId="165" fontId="0" fillId="6" borderId="6" xfId="2" applyNumberFormat="1" applyFont="1" applyFill="1" applyBorder="1"/>
    <xf numFmtId="165" fontId="0" fillId="6" borderId="0" xfId="2" applyNumberFormat="1" applyFont="1" applyFill="1" applyBorder="1"/>
    <xf numFmtId="9" fontId="5" fillId="6" borderId="6" xfId="3" applyFont="1" applyFill="1" applyBorder="1"/>
    <xf numFmtId="9" fontId="5" fillId="6" borderId="0" xfId="3" applyFont="1" applyFill="1" applyBorder="1"/>
    <xf numFmtId="167" fontId="0" fillId="6" borderId="0" xfId="3" applyNumberFormat="1" applyFont="1" applyFill="1"/>
    <xf numFmtId="9" fontId="0" fillId="6" borderId="0" xfId="3" applyFont="1" applyFill="1"/>
    <xf numFmtId="164" fontId="0" fillId="6" borderId="0" xfId="2" applyNumberFormat="1" applyFont="1" applyFill="1"/>
    <xf numFmtId="168" fontId="0" fillId="6" borderId="0" xfId="2" applyNumberFormat="1" applyFont="1" applyFill="1"/>
    <xf numFmtId="0" fontId="0" fillId="6" borderId="0" xfId="0" applyFill="1" applyAlignment="1">
      <alignment horizontal="right"/>
    </xf>
    <xf numFmtId="0" fontId="0" fillId="6" borderId="0" xfId="0" applyFill="1"/>
    <xf numFmtId="0" fontId="13" fillId="3" borderId="0" xfId="0" applyFont="1" applyFill="1"/>
    <xf numFmtId="0" fontId="13" fillId="6" borderId="0" xfId="0" applyFont="1" applyFill="1" applyAlignment="1">
      <alignment horizontal="right"/>
    </xf>
    <xf numFmtId="168" fontId="13" fillId="6" borderId="0" xfId="4" applyFont="1"/>
    <xf numFmtId="168" fontId="13" fillId="3" borderId="0" xfId="4" applyFont="1" applyFill="1"/>
    <xf numFmtId="170" fontId="13" fillId="6" borderId="0" xfId="2" applyNumberFormat="1" applyFont="1" applyFill="1"/>
    <xf numFmtId="170" fontId="13" fillId="3" borderId="0" xfId="2" applyNumberFormat="1" applyFont="1" applyFill="1"/>
    <xf numFmtId="10" fontId="13" fillId="3" borderId="0" xfId="0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right"/>
    </xf>
    <xf numFmtId="167" fontId="13" fillId="3" borderId="0" xfId="3" applyNumberFormat="1" applyFont="1" applyFill="1" applyAlignment="1">
      <alignment horizontal="right"/>
    </xf>
    <xf numFmtId="1" fontId="0" fillId="3" borderId="0" xfId="0" applyNumberFormat="1" applyFill="1"/>
    <xf numFmtId="165" fontId="0" fillId="6" borderId="0" xfId="2" applyNumberFormat="1" applyFont="1" applyFill="1"/>
    <xf numFmtId="165" fontId="0" fillId="6" borderId="5" xfId="2" applyNumberFormat="1" applyFont="1" applyFill="1" applyBorder="1"/>
    <xf numFmtId="165" fontId="6" fillId="6" borderId="0" xfId="2" applyNumberFormat="1" applyFont="1" applyFill="1" applyAlignment="1">
      <alignment horizontal="right"/>
    </xf>
    <xf numFmtId="166" fontId="0" fillId="6" borderId="0" xfId="2" applyNumberFormat="1" applyFont="1" applyFill="1"/>
    <xf numFmtId="166" fontId="6" fillId="6" borderId="0" xfId="2" applyNumberFormat="1" applyFont="1" applyFill="1" applyAlignment="1">
      <alignment horizontal="right"/>
    </xf>
    <xf numFmtId="169" fontId="5" fillId="3" borderId="0" xfId="2" applyNumberFormat="1" applyFont="1" applyFill="1"/>
    <xf numFmtId="10" fontId="0" fillId="2" borderId="1" xfId="3" applyNumberFormat="1" applyFont="1" applyFill="1" applyBorder="1" applyProtection="1">
      <protection locked="0"/>
    </xf>
    <xf numFmtId="164" fontId="0" fillId="2" borderId="1" xfId="2" applyNumberFormat="1" applyFont="1" applyFill="1" applyBorder="1" applyProtection="1">
      <protection locked="0"/>
    </xf>
    <xf numFmtId="167" fontId="0" fillId="3" borderId="0" xfId="3" applyNumberFormat="1" applyFont="1" applyFill="1" applyProtection="1">
      <protection locked="0"/>
    </xf>
    <xf numFmtId="164" fontId="0" fillId="3" borderId="0" xfId="2" applyNumberFormat="1" applyFont="1" applyFill="1" applyProtection="1">
      <protection locked="0"/>
    </xf>
    <xf numFmtId="168" fontId="0" fillId="3" borderId="0" xfId="2" applyNumberFormat="1" applyFont="1" applyFill="1" applyProtection="1">
      <protection locked="0"/>
    </xf>
    <xf numFmtId="9" fontId="0" fillId="3" borderId="0" xfId="3" applyFont="1" applyFill="1" applyProtection="1">
      <protection locked="0"/>
    </xf>
    <xf numFmtId="164" fontId="0" fillId="2" borderId="1" xfId="1" applyNumberFormat="1" applyFont="1" applyProtection="1">
      <protection locked="0"/>
    </xf>
    <xf numFmtId="10" fontId="0" fillId="2" borderId="1" xfId="2" applyNumberFormat="1" applyFont="1" applyFill="1" applyBorder="1" applyProtection="1">
      <protection locked="0"/>
    </xf>
    <xf numFmtId="43" fontId="0" fillId="2" borderId="1" xfId="2" applyFont="1" applyFill="1" applyBorder="1" applyProtection="1">
      <protection locked="0"/>
    </xf>
    <xf numFmtId="0" fontId="14" fillId="3" borderId="0" xfId="0" applyFont="1" applyFill="1"/>
    <xf numFmtId="6" fontId="0" fillId="2" borderId="3" xfId="1" quotePrefix="1" applyNumberFormat="1" applyFont="1" applyBorder="1" applyAlignment="1">
      <alignment horizontal="right"/>
    </xf>
    <xf numFmtId="165" fontId="0" fillId="4" borderId="0" xfId="0" applyNumberFormat="1" applyFill="1" applyAlignment="1">
      <alignment horizontal="right"/>
    </xf>
    <xf numFmtId="43" fontId="0" fillId="6" borderId="0" xfId="2" applyFont="1" applyFill="1"/>
    <xf numFmtId="43" fontId="0" fillId="3" borderId="0" xfId="2" applyFont="1" applyFill="1" applyProtection="1">
      <protection locked="0"/>
    </xf>
    <xf numFmtId="164" fontId="0" fillId="0" borderId="0" xfId="2" applyNumberFormat="1" applyFont="1" applyFill="1" applyProtection="1">
      <protection locked="0"/>
    </xf>
  </cellXfs>
  <cellStyles count="5">
    <cellStyle name="Comma" xfId="2" builtinId="3"/>
    <cellStyle name="Normal" xfId="0" builtinId="0"/>
    <cellStyle name="Note" xfId="1" builtinId="10"/>
    <cellStyle name="Percent" xfId="3" builtinId="5"/>
    <cellStyle name="Style 1" xfId="4" xr:uid="{CAA3948D-C561-4D3F-977D-B4A6D04E8389}"/>
  </cellStyles>
  <dxfs count="20">
    <dxf>
      <font>
        <color rgb="FFFF0000"/>
      </font>
    </dxf>
    <dxf>
      <font>
        <color rgb="FF00B050"/>
      </font>
      <numFmt numFmtId="171" formatCode="&quot;OK&quot;"/>
    </dxf>
    <dxf>
      <font>
        <color rgb="FF00B050"/>
      </font>
      <numFmt numFmtId="171" formatCode="&quot;OK&quot;"/>
    </dxf>
    <dxf>
      <font>
        <color rgb="FF00B050"/>
      </font>
      <numFmt numFmtId="171" formatCode="&quot;OK&quot;"/>
    </dxf>
    <dxf>
      <font>
        <color rgb="FF00B050"/>
      </font>
      <numFmt numFmtId="171" formatCode="&quot;OK&quot;"/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3197F-FF69-4E37-AEBC-95A85D315F7C}">
  <dimension ref="A1:E23"/>
  <sheetViews>
    <sheetView workbookViewId="0">
      <selection activeCell="E13" sqref="E13"/>
    </sheetView>
  </sheetViews>
  <sheetFormatPr defaultColWidth="9.109375" defaultRowHeight="14.4" x14ac:dyDescent="0.3"/>
  <cols>
    <col min="1" max="1" width="2.6640625" style="1" customWidth="1"/>
    <col min="2" max="4" width="12.6640625" style="1" customWidth="1"/>
    <col min="5" max="5" width="12.6640625" style="8" customWidth="1"/>
    <col min="6" max="9" width="12.6640625" style="1" customWidth="1"/>
    <col min="10" max="10" width="14.33203125" style="1" bestFit="1" customWidth="1"/>
    <col min="11" max="50" width="12.6640625" style="1" customWidth="1"/>
    <col min="51" max="16384" width="9.109375" style="1"/>
  </cols>
  <sheetData>
    <row r="1" spans="1:5" ht="33.6" x14ac:dyDescent="0.65">
      <c r="B1" s="86" t="s">
        <v>174</v>
      </c>
    </row>
    <row r="2" spans="1:5" s="15" customFormat="1" ht="15" thickBot="1" x14ac:dyDescent="0.35">
      <c r="A2" s="13"/>
      <c r="B2" s="14" t="str">
        <f>UPPER(cover!E8&amp;" - "&amp;DAY(cover!E12)&amp;"/"&amp;MONTH(cover!E12)&amp;"/"&amp;YEAR(cover!E12))</f>
        <v>MANOLETE PARTNERS PLC - 24/3/2023</v>
      </c>
      <c r="E2" s="13"/>
    </row>
    <row r="3" spans="1:5" ht="15" thickTop="1" x14ac:dyDescent="0.3">
      <c r="B3" s="25" t="str">
        <f>IF(checks!E10&lt;&gt;0,"**ERROR**","")</f>
        <v/>
      </c>
    </row>
    <row r="4" spans="1:5" s="3" customFormat="1" x14ac:dyDescent="0.3">
      <c r="A4" s="5"/>
      <c r="B4" s="2" t="s">
        <v>2</v>
      </c>
      <c r="E4" s="4"/>
    </row>
    <row r="6" spans="1:5" x14ac:dyDescent="0.3">
      <c r="B6" s="2" t="s">
        <v>4</v>
      </c>
      <c r="C6" s="3"/>
      <c r="D6" s="3"/>
      <c r="E6" s="4"/>
    </row>
    <row r="8" spans="1:5" x14ac:dyDescent="0.3">
      <c r="B8" s="1" t="s">
        <v>0</v>
      </c>
      <c r="D8" s="6"/>
      <c r="E8" s="9" t="s">
        <v>178</v>
      </c>
    </row>
    <row r="9" spans="1:5" x14ac:dyDescent="0.3">
      <c r="B9" s="1" t="s">
        <v>1</v>
      </c>
      <c r="D9" s="6"/>
      <c r="E9" s="9" t="s">
        <v>179</v>
      </c>
    </row>
    <row r="10" spans="1:5" x14ac:dyDescent="0.3">
      <c r="B10" s="1" t="s">
        <v>3</v>
      </c>
      <c r="D10" s="6"/>
      <c r="E10" s="87" t="s">
        <v>181</v>
      </c>
    </row>
    <row r="11" spans="1:5" x14ac:dyDescent="0.3">
      <c r="B11" s="1" t="s">
        <v>6</v>
      </c>
      <c r="D11" s="6"/>
      <c r="E11" s="10">
        <v>45009</v>
      </c>
    </row>
    <row r="12" spans="1:5" x14ac:dyDescent="0.3">
      <c r="B12" s="1" t="s">
        <v>135</v>
      </c>
      <c r="D12" s="7"/>
      <c r="E12" s="10">
        <v>45009</v>
      </c>
    </row>
    <row r="13" spans="1:5" x14ac:dyDescent="0.3">
      <c r="B13" s="1" t="s">
        <v>129</v>
      </c>
      <c r="D13" s="7"/>
      <c r="E13" s="10">
        <v>44834</v>
      </c>
    </row>
    <row r="14" spans="1:5" x14ac:dyDescent="0.3">
      <c r="B14" s="1" t="s">
        <v>42</v>
      </c>
      <c r="D14" s="27"/>
      <c r="E14" s="28">
        <f>E13</f>
        <v>44834</v>
      </c>
    </row>
    <row r="16" spans="1:5" x14ac:dyDescent="0.3">
      <c r="B16" s="2" t="s">
        <v>5</v>
      </c>
      <c r="C16" s="3"/>
      <c r="D16" s="3"/>
      <c r="E16" s="4"/>
    </row>
    <row r="18" spans="2:5" x14ac:dyDescent="0.3">
      <c r="D18" s="8" t="s">
        <v>11</v>
      </c>
      <c r="E18" s="8" t="s">
        <v>13</v>
      </c>
    </row>
    <row r="19" spans="2:5" x14ac:dyDescent="0.3">
      <c r="D19" s="8" t="s">
        <v>12</v>
      </c>
      <c r="E19" s="8" t="s">
        <v>12</v>
      </c>
    </row>
    <row r="20" spans="2:5" x14ac:dyDescent="0.3">
      <c r="B20" s="1" t="s">
        <v>7</v>
      </c>
      <c r="D20" s="11">
        <v>45107</v>
      </c>
      <c r="E20" s="11"/>
    </row>
    <row r="21" spans="2:5" x14ac:dyDescent="0.3">
      <c r="B21" s="1" t="s">
        <v>10</v>
      </c>
      <c r="D21" s="12">
        <f>EOMONTH(D20,3)</f>
        <v>45199</v>
      </c>
      <c r="E21" s="11">
        <v>45241</v>
      </c>
    </row>
    <row r="22" spans="2:5" x14ac:dyDescent="0.3">
      <c r="B22" s="1" t="s">
        <v>8</v>
      </c>
      <c r="D22" s="12">
        <f>EOMONTH(D21,3)</f>
        <v>45291</v>
      </c>
      <c r="E22" s="11"/>
    </row>
    <row r="23" spans="2:5" x14ac:dyDescent="0.3">
      <c r="B23" s="1" t="s">
        <v>9</v>
      </c>
      <c r="D23" s="12">
        <f>EOMONTH(D22,3)</f>
        <v>45382</v>
      </c>
      <c r="E23" s="11">
        <v>45100</v>
      </c>
    </row>
  </sheetData>
  <sheetProtection formatCells="0" formatColumns="0" formatRows="0" insertColumns="0" insertRows="0" insertHyperlinks="0" deleteColumns="0" deleteRows="0" selectLockedCells="1" sort="0" autoFilter="0" pivotTables="0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BD1BF-557B-48BE-A054-77E8CACF84E6}">
  <dimension ref="A1:R93"/>
  <sheetViews>
    <sheetView tabSelected="1" zoomScale="80" zoomScaleNormal="80" workbookViewId="0">
      <pane ySplit="20" topLeftCell="A54" activePane="bottomLeft" state="frozen"/>
      <selection pane="bottomLeft" activeCell="D8" sqref="D8"/>
    </sheetView>
  </sheetViews>
  <sheetFormatPr defaultColWidth="9.109375" defaultRowHeight="14.4" x14ac:dyDescent="0.3"/>
  <cols>
    <col min="1" max="1" width="2.6640625" style="1" customWidth="1"/>
    <col min="2" max="2" width="12.6640625" style="1" customWidth="1"/>
    <col min="3" max="3" width="14.77734375" style="1" customWidth="1"/>
    <col min="4" max="4" width="12.6640625" style="1" customWidth="1"/>
    <col min="5" max="5" width="12.6640625" style="8" customWidth="1"/>
    <col min="6" max="9" width="12.6640625" style="1" customWidth="1"/>
    <col min="10" max="10" width="14.33203125" style="1" bestFit="1" customWidth="1"/>
    <col min="11" max="51" width="12.6640625" style="1" customWidth="1"/>
    <col min="52" max="16384" width="9.109375" style="1"/>
  </cols>
  <sheetData>
    <row r="1" spans="1:18" ht="35.4" customHeight="1" x14ac:dyDescent="0.65">
      <c r="B1" s="86" t="s">
        <v>174</v>
      </c>
    </row>
    <row r="2" spans="1:18" s="15" customFormat="1" ht="15" thickBot="1" x14ac:dyDescent="0.35">
      <c r="A2" s="13"/>
      <c r="B2" s="14" t="str">
        <f>UPPER(cover!E8&amp;" - "&amp;DAY(cover!E12)&amp;"/"&amp;MONTH(cover!E12)&amp;"/"&amp;YEAR(cover!E12))</f>
        <v>MANOLETE PARTNERS PLC - 24/3/2023</v>
      </c>
      <c r="E2" s="13"/>
    </row>
    <row r="3" spans="1:18" ht="15" thickTop="1" x14ac:dyDescent="0.3">
      <c r="B3" s="25" t="str">
        <f>IF(checks!E10&lt;&gt;0,"**ERROR**","")</f>
        <v/>
      </c>
    </row>
    <row r="4" spans="1:18" s="3" customFormat="1" x14ac:dyDescent="0.3">
      <c r="A4" s="5"/>
      <c r="B4" s="2" t="s">
        <v>151</v>
      </c>
      <c r="E4" s="4"/>
    </row>
    <row r="5" spans="1:18" x14ac:dyDescent="0.3">
      <c r="B5" s="40"/>
    </row>
    <row r="6" spans="1:18" x14ac:dyDescent="0.3">
      <c r="B6" s="2" t="s">
        <v>151</v>
      </c>
      <c r="C6" s="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3">
      <c r="E7" s="1"/>
    </row>
    <row r="8" spans="1:18" x14ac:dyDescent="0.3">
      <c r="B8" s="1" t="s">
        <v>107</v>
      </c>
      <c r="D8" s="77">
        <f>WACC!I25</f>
        <v>8.6544768913971934E-2</v>
      </c>
      <c r="E8" s="1"/>
      <c r="F8" s="61" t="s">
        <v>164</v>
      </c>
    </row>
    <row r="9" spans="1:18" x14ac:dyDescent="0.3">
      <c r="B9" s="1" t="s">
        <v>108</v>
      </c>
      <c r="D9" s="77">
        <v>0.02</v>
      </c>
      <c r="E9" s="1"/>
      <c r="F9" s="21" t="s">
        <v>170</v>
      </c>
      <c r="G9" s="21"/>
      <c r="H9" s="76">
        <f>($D$13*$D$12/10^5-$D$85)/SUM($K$50:$L$50)</f>
        <v>24.695930600418542</v>
      </c>
    </row>
    <row r="10" spans="1:18" x14ac:dyDescent="0.3">
      <c r="B10" s="1" t="s">
        <v>109</v>
      </c>
      <c r="D10" s="16">
        <f>cover!E12</f>
        <v>45009</v>
      </c>
      <c r="E10" s="1"/>
      <c r="F10" s="21" t="s">
        <v>169</v>
      </c>
      <c r="G10" s="21"/>
      <c r="H10" s="76">
        <f>($D$13*$D$12/10^5-$D$85)/SUM($M$50)</f>
        <v>19.997701629018181</v>
      </c>
    </row>
    <row r="11" spans="1:18" x14ac:dyDescent="0.3">
      <c r="B11" s="1" t="s">
        <v>129</v>
      </c>
      <c r="D11" s="16">
        <f>cover!E13</f>
        <v>44834</v>
      </c>
      <c r="F11" s="21" t="s">
        <v>168</v>
      </c>
      <c r="G11" s="21"/>
      <c r="H11" s="76">
        <f>($D$13*$D$12/10^5-$D$85)/SUM($N$50)</f>
        <v>13.437631530077315</v>
      </c>
    </row>
    <row r="12" spans="1:18" x14ac:dyDescent="0.3">
      <c r="B12" s="1" t="s">
        <v>150</v>
      </c>
      <c r="D12" s="78">
        <v>265</v>
      </c>
      <c r="F12" s="21" t="s">
        <v>165</v>
      </c>
      <c r="G12" s="61"/>
      <c r="H12" s="76">
        <f>($D$13*$D$12/10^5-$D$85)/SUM($K$48:$L$48)</f>
        <v>24.242072646019142</v>
      </c>
      <c r="I12" s="67"/>
    </row>
    <row r="13" spans="1:18" x14ac:dyDescent="0.3">
      <c r="B13" s="1" t="s">
        <v>194</v>
      </c>
      <c r="D13" s="78">
        <f>'detailed-financials'!K57/'detailed-financials'!K63*10^5</f>
        <v>44410000</v>
      </c>
      <c r="E13" s="20"/>
      <c r="F13" s="21" t="s">
        <v>167</v>
      </c>
      <c r="G13" s="21"/>
      <c r="H13" s="76">
        <f>($D$13*$D$12/10^5-$D$85)/SUM($M$48)</f>
        <v>19.996695309108816</v>
      </c>
    </row>
    <row r="14" spans="1:18" x14ac:dyDescent="0.3">
      <c r="B14" s="1" t="s">
        <v>196</v>
      </c>
      <c r="D14" s="78">
        <v>115090</v>
      </c>
      <c r="F14" s="21" t="s">
        <v>166</v>
      </c>
      <c r="G14" s="21"/>
      <c r="H14" s="76">
        <f>($D$13*$D$12/10^5-$D$85)/SUM($N$48)</f>
        <v>13.43726801582226</v>
      </c>
    </row>
    <row r="15" spans="1:18" x14ac:dyDescent="0.3">
      <c r="B15" s="40"/>
      <c r="E15" s="1"/>
      <c r="F15" s="21" t="s">
        <v>171</v>
      </c>
      <c r="G15" s="21"/>
      <c r="H15" s="76">
        <f>($D$13*$D$12/10^5)/SUM($K$52:$L$52)</f>
        <v>22.724323296281188</v>
      </c>
    </row>
    <row r="16" spans="1:18" x14ac:dyDescent="0.3">
      <c r="B16" s="40" t="s">
        <v>163</v>
      </c>
      <c r="D16" s="68">
        <f>summary!D93</f>
        <v>190.36734939399281</v>
      </c>
      <c r="E16" s="1"/>
      <c r="F16" s="21" t="s">
        <v>172</v>
      </c>
      <c r="G16" s="21"/>
      <c r="H16" s="76">
        <f>($D$13*$D$12/10^5)/SUM($M$52)</f>
        <v>30.077327226621748</v>
      </c>
    </row>
    <row r="17" spans="2:18" x14ac:dyDescent="0.3">
      <c r="B17" s="61" t="s">
        <v>161</v>
      </c>
      <c r="D17" s="69">
        <f>1-D12/D16</f>
        <v>-0.39204543659188174</v>
      </c>
      <c r="E17" s="1"/>
      <c r="F17" s="21" t="s">
        <v>173</v>
      </c>
      <c r="G17" s="21"/>
      <c r="H17" s="76">
        <f>($D$13*$D$12/10^5)/SUM($N$52)</f>
        <v>19.435733056886722</v>
      </c>
    </row>
    <row r="18" spans="2:18" x14ac:dyDescent="0.3">
      <c r="B18" s="40"/>
    </row>
    <row r="19" spans="2:18" x14ac:dyDescent="0.3">
      <c r="B19" s="1" t="s">
        <v>16</v>
      </c>
      <c r="E19" s="16">
        <f>'detailed-financials'!E6</f>
        <v>42825</v>
      </c>
      <c r="F19" s="16">
        <f>'detailed-financials'!F6</f>
        <v>43190</v>
      </c>
      <c r="G19" s="16">
        <f>'detailed-financials'!G6</f>
        <v>43555</v>
      </c>
      <c r="H19" s="16">
        <f>'detailed-financials'!H6</f>
        <v>43921</v>
      </c>
      <c r="I19" s="16">
        <f>'detailed-financials'!I6</f>
        <v>44286</v>
      </c>
      <c r="J19" s="16">
        <f>'detailed-financials'!J6</f>
        <v>44651</v>
      </c>
      <c r="K19" s="16">
        <f>'detailed-financials'!K6</f>
        <v>44834</v>
      </c>
      <c r="L19" s="16">
        <f>'detailed-financials'!L6</f>
        <v>45016</v>
      </c>
      <c r="M19" s="16">
        <f>'detailed-financials'!M6</f>
        <v>45382</v>
      </c>
      <c r="N19" s="16">
        <f>'detailed-financials'!N6</f>
        <v>45747</v>
      </c>
      <c r="O19" s="16">
        <f>'detailed-financials'!O6</f>
        <v>46112</v>
      </c>
      <c r="P19" s="16">
        <f>'detailed-financials'!P6</f>
        <v>46477</v>
      </c>
      <c r="Q19" s="16">
        <f>'detailed-financials'!Q6</f>
        <v>46843</v>
      </c>
      <c r="R19" s="16">
        <f>'detailed-financials'!R6</f>
        <v>47208</v>
      </c>
    </row>
    <row r="20" spans="2:18" x14ac:dyDescent="0.3">
      <c r="B20" s="1" t="s">
        <v>55</v>
      </c>
      <c r="E20" s="1">
        <f>'detailed-financials'!E7</f>
        <v>12</v>
      </c>
      <c r="F20" s="1">
        <f>'detailed-financials'!F7</f>
        <v>12</v>
      </c>
      <c r="G20" s="1">
        <f>'detailed-financials'!G7</f>
        <v>12</v>
      </c>
      <c r="H20" s="1">
        <f>'detailed-financials'!H7</f>
        <v>12</v>
      </c>
      <c r="I20" s="1">
        <f>'detailed-financials'!I7</f>
        <v>12</v>
      </c>
      <c r="J20" s="1">
        <f>'detailed-financials'!J7</f>
        <v>12</v>
      </c>
      <c r="K20" s="1">
        <f>'detailed-financials'!K7</f>
        <v>6</v>
      </c>
      <c r="L20" s="1">
        <f>'detailed-financials'!L7</f>
        <v>6</v>
      </c>
      <c r="M20" s="1">
        <f>'detailed-financials'!M7</f>
        <v>12</v>
      </c>
      <c r="N20" s="1">
        <f>'detailed-financials'!N7</f>
        <v>12</v>
      </c>
      <c r="O20" s="1">
        <f>'detailed-financials'!O7</f>
        <v>12</v>
      </c>
      <c r="P20" s="1">
        <f>'detailed-financials'!P7</f>
        <v>12</v>
      </c>
      <c r="Q20" s="1">
        <f>'detailed-financials'!Q7</f>
        <v>12</v>
      </c>
      <c r="R20" s="1">
        <f>'detailed-financials'!R7</f>
        <v>12</v>
      </c>
    </row>
    <row r="21" spans="2:18" x14ac:dyDescent="0.3">
      <c r="B21" s="40"/>
    </row>
    <row r="22" spans="2:18" x14ac:dyDescent="0.3">
      <c r="B22" s="2" t="s">
        <v>175</v>
      </c>
      <c r="C22" s="3"/>
      <c r="D22" s="5"/>
      <c r="E22" s="4"/>
      <c r="F22" s="4"/>
      <c r="G22" s="4"/>
      <c r="H22" s="4"/>
      <c r="I22" s="4"/>
      <c r="J22" s="4"/>
      <c r="K22" s="4"/>
      <c r="L22" s="4"/>
      <c r="M22" s="4"/>
      <c r="N22" s="4"/>
      <c r="O22" s="5"/>
      <c r="P22" s="5"/>
      <c r="Q22" s="5"/>
      <c r="R22" s="5"/>
    </row>
    <row r="23" spans="2:18" x14ac:dyDescent="0.3">
      <c r="D23" s="24"/>
      <c r="F23" s="20"/>
      <c r="G23" s="20"/>
      <c r="H23" s="20"/>
      <c r="I23" s="20"/>
      <c r="J23" s="20"/>
      <c r="K23" s="20"/>
    </row>
    <row r="24" spans="2:18" x14ac:dyDescent="0.3">
      <c r="B24" s="1" t="s">
        <v>202</v>
      </c>
      <c r="E24" s="55"/>
      <c r="F24" s="89">
        <f>F45/F30</f>
        <v>5.6706983960353048</v>
      </c>
      <c r="G24" s="89">
        <f>G45/G30</f>
        <v>3.778384132901015</v>
      </c>
      <c r="H24" s="89">
        <f>H45/H30</f>
        <v>2.3779984721161194</v>
      </c>
      <c r="I24" s="89">
        <f>I45/I30</f>
        <v>4.8927391086629948</v>
      </c>
      <c r="J24" s="89">
        <f>J45/J30</f>
        <v>2.4671036659383345</v>
      </c>
      <c r="K24" s="89">
        <f>K45/K30*2</f>
        <v>4.2034003091190106</v>
      </c>
      <c r="L24" s="90">
        <f>AVERAGE(F24:K24)</f>
        <v>3.8983873474621298</v>
      </c>
      <c r="M24" s="90">
        <f>L24</f>
        <v>3.8983873474621298</v>
      </c>
      <c r="N24" s="90">
        <f t="shared" ref="N24:R24" si="0">M24</f>
        <v>3.8983873474621298</v>
      </c>
      <c r="O24" s="90">
        <f t="shared" si="0"/>
        <v>3.8983873474621298</v>
      </c>
      <c r="P24" s="90">
        <f t="shared" si="0"/>
        <v>3.8983873474621298</v>
      </c>
      <c r="Q24" s="90">
        <f t="shared" si="0"/>
        <v>3.8983873474621298</v>
      </c>
      <c r="R24" s="90">
        <f t="shared" si="0"/>
        <v>3.8983873474621298</v>
      </c>
    </row>
    <row r="25" spans="2:18" x14ac:dyDescent="0.3">
      <c r="B25" s="1" t="s">
        <v>195</v>
      </c>
      <c r="E25" s="55">
        <f>-'detailed-financials'!E46/'detailed-financials'!E44</f>
        <v>0.61623067507460916</v>
      </c>
      <c r="F25" s="55">
        <f>-'detailed-financials'!F46/'detailed-financials'!F44</f>
        <v>0.5708745411332552</v>
      </c>
      <c r="G25" s="55">
        <f>-'detailed-financials'!G46/'detailed-financials'!G44</f>
        <v>0.51566871852266372</v>
      </c>
      <c r="H25" s="55">
        <f>-'detailed-financials'!H46/'detailed-financials'!H44</f>
        <v>0.55152916987920841</v>
      </c>
      <c r="I25" s="55">
        <f>-'detailed-financials'!I46/'detailed-financials'!I44</f>
        <v>0.59033037212920125</v>
      </c>
      <c r="J25" s="55">
        <f>-'detailed-financials'!J46/'detailed-financials'!J44</f>
        <v>0.6601062782916749</v>
      </c>
      <c r="K25" s="55">
        <f>-'detailed-financials'!K46/'detailed-financials'!K44</f>
        <v>0.56633328430651564</v>
      </c>
      <c r="L25" s="79">
        <f>AVERAGE(E25:K25)</f>
        <v>0.58158186276244694</v>
      </c>
      <c r="M25" s="79">
        <f t="shared" ref="M25:Q26" si="1">L25</f>
        <v>0.58158186276244694</v>
      </c>
      <c r="N25" s="79">
        <f t="shared" si="1"/>
        <v>0.58158186276244694</v>
      </c>
      <c r="O25" s="79">
        <f t="shared" si="1"/>
        <v>0.58158186276244694</v>
      </c>
      <c r="P25" s="79">
        <f t="shared" si="1"/>
        <v>0.58158186276244694</v>
      </c>
      <c r="Q25" s="79">
        <f t="shared" si="1"/>
        <v>0.58158186276244694</v>
      </c>
      <c r="R25" s="79">
        <f>Q25</f>
        <v>0.58158186276244694</v>
      </c>
    </row>
    <row r="26" spans="2:18" x14ac:dyDescent="0.3">
      <c r="B26" s="1" t="s">
        <v>200</v>
      </c>
      <c r="E26" s="55">
        <f>'detailed-financials'!E48/'detailed-financials'!E46</f>
        <v>1.7504385758814591</v>
      </c>
      <c r="F26" s="55">
        <f>'detailed-financials'!F48/'detailed-financials'!F46</f>
        <v>0.70840563417847391</v>
      </c>
      <c r="G26" s="55">
        <f>'detailed-financials'!G48/'detailed-financials'!G46</f>
        <v>0.7797069994574064</v>
      </c>
      <c r="H26" s="55">
        <f>'detailed-financials'!H48/'detailed-financials'!H46</f>
        <v>1.0684995340167753</v>
      </c>
      <c r="I26" s="55">
        <f>'detailed-financials'!I48/'detailed-financials'!I46</f>
        <v>0.40589459084604718</v>
      </c>
      <c r="J26" s="55">
        <f>'detailed-financials'!J48/'detailed-financials'!J46</f>
        <v>0.48539057841383421</v>
      </c>
      <c r="K26" s="55">
        <f>'detailed-financials'!K48/'detailed-financials'!K46</f>
        <v>0.38631346578366443</v>
      </c>
      <c r="L26" s="79">
        <v>0.38</v>
      </c>
      <c r="M26" s="79">
        <v>0.36</v>
      </c>
      <c r="N26" s="79">
        <v>0.34</v>
      </c>
      <c r="O26" s="79">
        <v>0.32</v>
      </c>
      <c r="P26" s="79">
        <v>0.3</v>
      </c>
      <c r="Q26" s="79">
        <f t="shared" si="1"/>
        <v>0.3</v>
      </c>
      <c r="R26" s="79">
        <v>0.3</v>
      </c>
    </row>
    <row r="27" spans="2:18" x14ac:dyDescent="0.3">
      <c r="B27" s="1" t="s">
        <v>85</v>
      </c>
      <c r="E27" s="55"/>
      <c r="F27" s="55"/>
      <c r="G27" s="55"/>
      <c r="H27" s="55">
        <f>-'detailed-financials'!H51*(12/'detailed-financials'!H7)/('detailed-financials'!G18)</f>
        <v>0</v>
      </c>
      <c r="I27" s="55">
        <f>-'detailed-financials'!I51*(12/'detailed-financials'!I7)/('detailed-financials'!H18)</f>
        <v>0.58122743682310474</v>
      </c>
      <c r="J27" s="55">
        <f>-'detailed-financials'!J51*(12/'detailed-financials'!J7)/('detailed-financials'!I18)</f>
        <v>0.66095890410958902</v>
      </c>
      <c r="K27" s="55">
        <f>-'detailed-financials'!K51*(12/'detailed-financials'!K7)/('detailed-financials'!J18)</f>
        <v>1.9393939393939394</v>
      </c>
      <c r="L27" s="79">
        <v>0.2</v>
      </c>
      <c r="M27" s="79">
        <v>0.2</v>
      </c>
      <c r="N27" s="79">
        <v>0.2</v>
      </c>
      <c r="O27" s="79">
        <v>0.2</v>
      </c>
      <c r="P27" s="79">
        <v>0.2</v>
      </c>
      <c r="Q27" s="79">
        <v>0.2</v>
      </c>
      <c r="R27" s="79">
        <v>0.2</v>
      </c>
    </row>
    <row r="28" spans="2:18" x14ac:dyDescent="0.3">
      <c r="B28" s="1" t="s">
        <v>83</v>
      </c>
      <c r="E28" s="55"/>
      <c r="F28" s="55">
        <f>-('detailed-financials'!F53*12/'detailed-financials'!F7)/AVERAGE('detailed-financials'!E26:F26)</f>
        <v>6.367840244122186E-2</v>
      </c>
      <c r="G28" s="55">
        <f>-('detailed-financials'!G53*12/'detailed-financials'!G7)/AVERAGE('detailed-financials'!F26:G26)</f>
        <v>8.8607429406032612E-2</v>
      </c>
      <c r="H28" s="55">
        <f>-('detailed-financials'!H53*12/'detailed-financials'!H7)/AVERAGE('detailed-financials'!G26:H26)</f>
        <v>0.11281786497999226</v>
      </c>
      <c r="I28" s="55">
        <f>-('detailed-financials'!I53*12/'detailed-financials'!I7)/AVERAGE('detailed-financials'!H26:I26)</f>
        <v>5.8105530832803558E-2</v>
      </c>
      <c r="J28" s="55">
        <f>-('detailed-financials'!J53*12/'detailed-financials'!J7)/AVERAGE('detailed-financials'!I26:J26)</f>
        <v>7.4517880546714099E-2</v>
      </c>
      <c r="K28" s="55">
        <f>-('detailed-financials'!K53*12/'detailed-financials'!K7)/AVERAGE('detailed-financials'!J26:K26)</f>
        <v>3.5323511673989831E-2</v>
      </c>
      <c r="L28" s="79">
        <f>WACC!$E$12</f>
        <v>6.83E-2</v>
      </c>
      <c r="M28" s="79">
        <f>WACC!$E$12</f>
        <v>6.83E-2</v>
      </c>
      <c r="N28" s="79">
        <f>WACC!$E$12</f>
        <v>6.83E-2</v>
      </c>
      <c r="O28" s="79">
        <f>WACC!$E$12</f>
        <v>6.83E-2</v>
      </c>
      <c r="P28" s="79">
        <f>WACC!$E$12</f>
        <v>6.83E-2</v>
      </c>
      <c r="Q28" s="79">
        <f>WACC!$E$12</f>
        <v>6.83E-2</v>
      </c>
      <c r="R28" s="79">
        <f>WACC!$E$12</f>
        <v>6.83E-2</v>
      </c>
    </row>
    <row r="29" spans="2:18" x14ac:dyDescent="0.3">
      <c r="B29" s="1" t="s">
        <v>84</v>
      </c>
      <c r="E29" s="56">
        <f>-'detailed-financials'!E56/'detailed-financials'!E55</f>
        <v>0.23443302051617868</v>
      </c>
      <c r="F29" s="56">
        <f>-'detailed-financials'!F56/'detailed-financials'!F55</f>
        <v>0.11707831666209069</v>
      </c>
      <c r="G29" s="56">
        <f>-'detailed-financials'!G56/'detailed-financials'!G55</f>
        <v>0.21455035365442909</v>
      </c>
      <c r="H29" s="56">
        <f>-'detailed-financials'!H56/'detailed-financials'!H55</f>
        <v>0.1946912013536379</v>
      </c>
      <c r="I29" s="56">
        <f>-'detailed-financials'!I56/'detailed-financials'!I55</f>
        <v>0.18466599914175369</v>
      </c>
      <c r="J29" s="56">
        <f>-'detailed-financials'!J56/'detailed-financials'!J55</f>
        <v>0.18411712511091394</v>
      </c>
      <c r="K29" s="56">
        <f>-'detailed-financials'!K56/'detailed-financials'!K55</f>
        <v>0.18677897820911921</v>
      </c>
      <c r="L29" s="79">
        <v>0.19</v>
      </c>
      <c r="M29" s="79">
        <v>0.25</v>
      </c>
      <c r="N29" s="79">
        <v>0.25</v>
      </c>
      <c r="O29" s="79">
        <v>0.25</v>
      </c>
      <c r="P29" s="79">
        <v>0.25</v>
      </c>
      <c r="Q29" s="79">
        <v>0.25</v>
      </c>
      <c r="R29" s="79">
        <v>0.25</v>
      </c>
    </row>
    <row r="30" spans="2:18" x14ac:dyDescent="0.3">
      <c r="B30" s="1" t="s">
        <v>201</v>
      </c>
      <c r="E30" s="56"/>
      <c r="F30" s="57">
        <f>F31/2+E31/2</f>
        <v>1185.9675</v>
      </c>
      <c r="G30" s="57">
        <f>G31/2+F31/2</f>
        <v>1891.8139999999999</v>
      </c>
      <c r="H30" s="57">
        <f>H31/2+G31/2</f>
        <v>3272.5</v>
      </c>
      <c r="I30" s="57">
        <f>I31/2+H31/2</f>
        <v>4992.5</v>
      </c>
      <c r="J30" s="57">
        <f>J31/2+I31/2</f>
        <v>6178.5</v>
      </c>
      <c r="K30" s="57">
        <f>J31</f>
        <v>6470</v>
      </c>
      <c r="L30" s="91">
        <f>K31+J31/2</f>
        <v>6038</v>
      </c>
      <c r="M30" s="91">
        <f>L31+K31</f>
        <v>7803</v>
      </c>
      <c r="N30" s="91">
        <f>M31/2+N31/2</f>
        <v>11000</v>
      </c>
      <c r="O30" s="91">
        <f>N31/2+O31/2</f>
        <v>11000</v>
      </c>
      <c r="P30" s="91">
        <f>O31/2+P31/2</f>
        <v>10100</v>
      </c>
      <c r="Q30" s="91">
        <f>P31/2+Q31/2</f>
        <v>10302</v>
      </c>
      <c r="R30" s="91">
        <f>Q31/2+R31/2</f>
        <v>10508.04</v>
      </c>
    </row>
    <row r="31" spans="2:18" x14ac:dyDescent="0.3">
      <c r="B31" s="1" t="s">
        <v>186</v>
      </c>
      <c r="E31" s="57">
        <f>-'detailed-financials'!E83</f>
        <v>1035.307</v>
      </c>
      <c r="F31" s="57">
        <f>-'detailed-financials'!F83</f>
        <v>1336.6279999999999</v>
      </c>
      <c r="G31" s="57">
        <f>-'detailed-financials'!G83</f>
        <v>2447</v>
      </c>
      <c r="H31" s="57">
        <f>-'detailed-financials'!H83</f>
        <v>4098</v>
      </c>
      <c r="I31" s="57">
        <f>-'detailed-financials'!I83</f>
        <v>5887</v>
      </c>
      <c r="J31" s="57">
        <f>-'detailed-financials'!J83</f>
        <v>6470</v>
      </c>
      <c r="K31" s="57">
        <f>-'detailed-financials'!K83</f>
        <v>2803</v>
      </c>
      <c r="L31" s="80">
        <v>5000</v>
      </c>
      <c r="M31" s="80">
        <v>10000</v>
      </c>
      <c r="N31" s="80">
        <v>12000</v>
      </c>
      <c r="O31" s="80">
        <v>10000</v>
      </c>
      <c r="P31" s="80">
        <f>O31*1.02</f>
        <v>10200</v>
      </c>
      <c r="Q31" s="80">
        <f>P31*1.02</f>
        <v>10404</v>
      </c>
      <c r="R31" s="80">
        <f>Q31*1.02</f>
        <v>10612.08</v>
      </c>
    </row>
    <row r="32" spans="2:18" x14ac:dyDescent="0.3">
      <c r="B32" s="1" t="s">
        <v>197</v>
      </c>
      <c r="E32" s="57">
        <f>'detailed-financials'!E84</f>
        <v>222.49799999999999</v>
      </c>
      <c r="F32" s="57">
        <f>'detailed-financials'!F84</f>
        <v>1392.0509999999999</v>
      </c>
      <c r="G32" s="57">
        <f>'detailed-financials'!G84</f>
        <v>1387</v>
      </c>
      <c r="H32" s="57">
        <f>'detailed-financials'!H84</f>
        <v>1599</v>
      </c>
      <c r="I32" s="57">
        <f>'detailed-financials'!I84</f>
        <v>4199</v>
      </c>
      <c r="J32" s="57">
        <f>'detailed-financials'!J84</f>
        <v>3460</v>
      </c>
      <c r="K32" s="57">
        <f>'detailed-financials'!K84</f>
        <v>4275</v>
      </c>
      <c r="L32" s="80">
        <f>J31/2</f>
        <v>3235</v>
      </c>
      <c r="M32" s="80">
        <f>L31+K31</f>
        <v>7803</v>
      </c>
      <c r="N32" s="80">
        <f>M31</f>
        <v>10000</v>
      </c>
      <c r="O32" s="80">
        <f>N31</f>
        <v>12000</v>
      </c>
      <c r="P32" s="80">
        <f>O31</f>
        <v>10000</v>
      </c>
      <c r="Q32" s="80">
        <f>P31</f>
        <v>10200</v>
      </c>
      <c r="R32" s="80">
        <f>Q31</f>
        <v>10404</v>
      </c>
    </row>
    <row r="33" spans="2:18" x14ac:dyDescent="0.3">
      <c r="B33" s="1" t="s">
        <v>86</v>
      </c>
      <c r="E33" s="57">
        <f>'detailed-financials'!E14/'detailed-financials'!E44*365*'detailed-financials'!E7/12</f>
        <v>348.56679892304663</v>
      </c>
      <c r="F33" s="57">
        <f>'detailed-financials'!F14/'detailed-financials'!F44*365*'detailed-financials'!F7/12</f>
        <v>161.3683879175598</v>
      </c>
      <c r="G33" s="57">
        <f>'detailed-financials'!G14/'detailed-financials'!G44*365*'detailed-financials'!G7/12</f>
        <v>192.86583659764969</v>
      </c>
      <c r="H33" s="57">
        <f>'detailed-financials'!H14/'detailed-financials'!H44*365*'detailed-financials'!H7/12</f>
        <v>276.58763813929579</v>
      </c>
      <c r="I33" s="57">
        <f>'detailed-financials'!I14/'detailed-financials'!I44*365*'detailed-financials'!I7/12</f>
        <v>274.16465386662298</v>
      </c>
      <c r="J33" s="57">
        <f>'detailed-financials'!J14/'detailed-financials'!J44*365*'detailed-financials'!J7/12</f>
        <v>485.49334120579937</v>
      </c>
      <c r="K33" s="57">
        <f>'detailed-financials'!K14/'detailed-financials'!K44*365*'detailed-financials'!K7/12</f>
        <v>299.5319164583027</v>
      </c>
      <c r="L33" s="80">
        <f>AVERAGE(H33:K33)</f>
        <v>333.9443874175052</v>
      </c>
      <c r="M33" s="80">
        <f t="shared" ref="M33:R33" si="2">L33</f>
        <v>333.9443874175052</v>
      </c>
      <c r="N33" s="80">
        <f t="shared" si="2"/>
        <v>333.9443874175052</v>
      </c>
      <c r="O33" s="80">
        <f t="shared" si="2"/>
        <v>333.9443874175052</v>
      </c>
      <c r="P33" s="80">
        <f t="shared" si="2"/>
        <v>333.9443874175052</v>
      </c>
      <c r="Q33" s="80">
        <f t="shared" si="2"/>
        <v>333.9443874175052</v>
      </c>
      <c r="R33" s="80">
        <f t="shared" si="2"/>
        <v>333.9443874175052</v>
      </c>
    </row>
    <row r="34" spans="2:18" x14ac:dyDescent="0.3">
      <c r="B34" s="1" t="s">
        <v>87</v>
      </c>
      <c r="E34" s="57">
        <f>-'detailed-financials'!E22/'detailed-financials'!E46*365*'detailed-financials'!E7/12</f>
        <v>836.27073935278747</v>
      </c>
      <c r="F34" s="57">
        <f>-'detailed-financials'!F22/'detailed-financials'!F46*365*'detailed-financials'!F7/12</f>
        <v>269.06861751754622</v>
      </c>
      <c r="G34" s="57">
        <f>-'detailed-financials'!G22/'detailed-financials'!G46*365*'detailed-financials'!G7/12</f>
        <v>410.94682582745526</v>
      </c>
      <c r="H34" s="57">
        <f>-'detailed-financials'!H22/'detailed-financials'!H46*365*'detailed-financials'!H7/12</f>
        <v>378.26654240447346</v>
      </c>
      <c r="I34" s="57">
        <f>-'detailed-financials'!I22/'detailed-financials'!I46*365*'detailed-financials'!I7/12</f>
        <v>257.34778085991678</v>
      </c>
      <c r="J34" s="57">
        <f>-'detailed-financials'!J22/'detailed-financials'!J46*365*'detailed-financials'!J7/12</f>
        <v>451.51610017889084</v>
      </c>
      <c r="K34" s="57">
        <f>-'detailed-financials'!K22/'detailed-financials'!K46*365*'detailed-financials'!K7/12</f>
        <v>290.11362160758347</v>
      </c>
      <c r="L34" s="80">
        <f>AVERAGE(H34:K34)</f>
        <v>344.31101126271608</v>
      </c>
      <c r="M34" s="80">
        <f t="shared" ref="M34:R34" si="3">L34</f>
        <v>344.31101126271608</v>
      </c>
      <c r="N34" s="80">
        <f t="shared" si="3"/>
        <v>344.31101126271608</v>
      </c>
      <c r="O34" s="80">
        <f t="shared" si="3"/>
        <v>344.31101126271608</v>
      </c>
      <c r="P34" s="80">
        <f t="shared" si="3"/>
        <v>344.31101126271608</v>
      </c>
      <c r="Q34" s="80">
        <f t="shared" si="3"/>
        <v>344.31101126271608</v>
      </c>
      <c r="R34" s="80">
        <f t="shared" si="3"/>
        <v>344.31101126271608</v>
      </c>
    </row>
    <row r="35" spans="2:18" x14ac:dyDescent="0.3">
      <c r="B35" s="1" t="s">
        <v>198</v>
      </c>
      <c r="E35" s="58"/>
      <c r="F35" s="58"/>
      <c r="G35" s="58">
        <f>'detailed-financials'!G26/SUM(E31:G31)/3</f>
        <v>0</v>
      </c>
      <c r="H35" s="58">
        <f>'detailed-financials'!H26/SUM(F31:H31)/3</f>
        <v>0.32763958579792568</v>
      </c>
      <c r="I35" s="58">
        <f>'detailed-financials'!I26/SUM(G31:I31)/3</f>
        <v>0.21404440154440155</v>
      </c>
      <c r="J35" s="58">
        <f>'detailed-financials'!J26/SUM(H31:J31)/3</f>
        <v>0.27106249366960394</v>
      </c>
      <c r="K35" s="58">
        <f>'detailed-financials'!K26/SUM(I31:K31,H31/2)/3</f>
        <v>0.190462354969299</v>
      </c>
      <c r="L35" s="81">
        <f>AVERAGE(H35:K35)</f>
        <v>0.25080220899530753</v>
      </c>
      <c r="M35" s="81">
        <f t="shared" ref="M35:R35" si="4">L35</f>
        <v>0.25080220899530753</v>
      </c>
      <c r="N35" s="81">
        <f t="shared" si="4"/>
        <v>0.25080220899530753</v>
      </c>
      <c r="O35" s="81">
        <f t="shared" si="4"/>
        <v>0.25080220899530753</v>
      </c>
      <c r="P35" s="81">
        <f t="shared" si="4"/>
        <v>0.25080220899530753</v>
      </c>
      <c r="Q35" s="81">
        <f t="shared" si="4"/>
        <v>0.25080220899530753</v>
      </c>
      <c r="R35" s="81">
        <f t="shared" si="4"/>
        <v>0.25080220899530753</v>
      </c>
    </row>
    <row r="36" spans="2:18" x14ac:dyDescent="0.3">
      <c r="B36" s="1" t="s">
        <v>88</v>
      </c>
      <c r="E36" s="56">
        <f>-('detailed-financials'!E91+'detailed-financials'!E90)/'detailed-financials'!E57</f>
        <v>0.45037896748474843</v>
      </c>
      <c r="F36" s="56">
        <f>-('detailed-financials'!F91+'detailed-financials'!F90)/'detailed-financials'!F57</f>
        <v>0</v>
      </c>
      <c r="G36" s="56">
        <f>-('detailed-financials'!G91+'detailed-financials'!G90)/'detailed-financials'!G57</f>
        <v>0</v>
      </c>
      <c r="H36" s="56">
        <f>-('detailed-financials'!H91+'detailed-financials'!H90)/'detailed-financials'!H57</f>
        <v>0.11385423506237689</v>
      </c>
      <c r="I36" s="56">
        <f>-('detailed-financials'!I91+'detailed-financials'!I90)/'detailed-financials'!I57</f>
        <v>0.31877192982456143</v>
      </c>
      <c r="J36" s="56">
        <f>-('detailed-financials'!J91+'detailed-financials'!J90)/'detailed-financials'!J57</f>
        <v>0.16476345840130505</v>
      </c>
      <c r="K36" s="56">
        <f>-('detailed-financials'!K91+'detailed-financials'!K90)/'detailed-financials'!K57</f>
        <v>0</v>
      </c>
      <c r="L36" s="82"/>
      <c r="M36" s="79"/>
      <c r="N36" s="79"/>
      <c r="O36" s="79"/>
      <c r="P36" s="79"/>
      <c r="Q36" s="79"/>
      <c r="R36" s="79"/>
    </row>
    <row r="37" spans="2:18" x14ac:dyDescent="0.3">
      <c r="B37" s="1" t="s">
        <v>89</v>
      </c>
      <c r="E37" s="56">
        <f>'detailed-financials'!E60/'detailed-financials'!E57</f>
        <v>0</v>
      </c>
      <c r="F37" s="56">
        <f>'detailed-financials'!F60/'detailed-financials'!F57</f>
        <v>0</v>
      </c>
      <c r="G37" s="56">
        <f>'detailed-financials'!G60/'detailed-financials'!G57</f>
        <v>0</v>
      </c>
      <c r="H37" s="56">
        <f>'detailed-financials'!H60/'detailed-financials'!H57</f>
        <v>0</v>
      </c>
      <c r="I37" s="56">
        <f>'detailed-financials'!I60/'detailed-financials'!I57</f>
        <v>0</v>
      </c>
      <c r="J37" s="56">
        <f>'detailed-financials'!J60/'detailed-financials'!J57</f>
        <v>0</v>
      </c>
      <c r="K37" s="56">
        <f>'detailed-financials'!K60/'detailed-financials'!K57</f>
        <v>0</v>
      </c>
      <c r="L37" s="82"/>
      <c r="M37" s="82"/>
      <c r="N37" s="82"/>
      <c r="O37" s="82"/>
      <c r="P37" s="82"/>
      <c r="Q37" s="82"/>
      <c r="R37" s="82"/>
    </row>
    <row r="38" spans="2:18" x14ac:dyDescent="0.3">
      <c r="B38" s="1" t="s">
        <v>90</v>
      </c>
      <c r="E38" s="57">
        <f>-SUM('detailed-financials'!E81:E82)</f>
        <v>0</v>
      </c>
      <c r="F38" s="57">
        <f>-SUM('detailed-financials'!F81:F82)</f>
        <v>0</v>
      </c>
      <c r="G38" s="57">
        <f>-SUM('detailed-financials'!G81:G82)</f>
        <v>453</v>
      </c>
      <c r="H38" s="57">
        <f>-SUM('detailed-financials'!H81:H82)</f>
        <v>50</v>
      </c>
      <c r="I38" s="57">
        <f>-SUM('detailed-financials'!I81:I82)</f>
        <v>0</v>
      </c>
      <c r="J38" s="57">
        <f>-SUM('detailed-financials'!J81:J82)</f>
        <v>0</v>
      </c>
      <c r="K38" s="57">
        <f>-SUM('detailed-financials'!K81:K82)</f>
        <v>0</v>
      </c>
      <c r="L38" s="80"/>
      <c r="M38" s="80"/>
      <c r="N38" s="80"/>
      <c r="O38" s="80"/>
      <c r="P38" s="80"/>
      <c r="Q38" s="80"/>
      <c r="R38" s="80"/>
    </row>
    <row r="39" spans="2:18" x14ac:dyDescent="0.3">
      <c r="B39" s="1" t="s">
        <v>140</v>
      </c>
      <c r="E39" s="55">
        <f>'detailed-financials'!E$52*(1-E$29)/SUM('detailed-financials'!E$38,'detailed-financials'!E$26)*(12/'detailed-financials'!E$7)</f>
        <v>0.20631025355207996</v>
      </c>
      <c r="F39" s="55">
        <f>'detailed-financials'!F$52*(1-F$29)/SUM('detailed-financials'!F$38,'detailed-financials'!F$26)*(12/'detailed-financials'!F$7)</f>
        <v>0.21618805413955092</v>
      </c>
      <c r="G39" s="55">
        <f>'detailed-financials'!G$52*(1-G$29)/SUM('detailed-financials'!G$38,'detailed-financials'!G$26)*(12/'detailed-financials'!G$7)</f>
        <v>0.17747264898688073</v>
      </c>
      <c r="H39" s="55">
        <f>'detailed-financials'!H$52*(1-H$29)/SUM('detailed-financials'!H$38,'detailed-financials'!H$26)*(12/'detailed-financials'!H$7)</f>
        <v>0.18503474330143507</v>
      </c>
      <c r="I39" s="55">
        <f>'detailed-financials'!I$52*(1-I$29)/SUM('detailed-financials'!I$38,'detailed-financials'!I$26)*(12/'detailed-financials'!I$7)</f>
        <v>0.12858052350939664</v>
      </c>
      <c r="J39" s="55">
        <f>'detailed-financials'!J$52*(1-J$29)/SUM('detailed-financials'!J$38,'detailed-financials'!J$26)*(12/'detailed-financials'!J$7)</f>
        <v>7.7831704467836563E-2</v>
      </c>
      <c r="K39" s="55">
        <f>'detailed-financials'!K$52*(1-K$29)/SUM('detailed-financials'!K$38,'detailed-financials'!K$26)*(12/'detailed-financials'!K$7)</f>
        <v>-0.17935137505039436</v>
      </c>
      <c r="L39" s="55">
        <f>'detailed-financials'!L$52*(1-L$29)/SUM('detailed-financials'!L$38,'detailed-financials'!L$26)*(12/'detailed-financials'!L$7)</f>
        <v>6.8984443754809985E-2</v>
      </c>
      <c r="M39" s="55">
        <f>'detailed-financials'!M$52*(1-M$29)/SUM('detailed-financials'!M$38,'detailed-financials'!M$26)*(12/'detailed-financials'!M$7)</f>
        <v>7.7469161450826163E-2</v>
      </c>
      <c r="N39" s="55">
        <f>'detailed-financials'!N$52*(1-N$29)/SUM('detailed-financials'!N$38,'detailed-financials'!N$26)*(12/'detailed-financials'!N$7)</f>
        <v>9.8879576395750957E-2</v>
      </c>
      <c r="O39" s="55">
        <f>'detailed-financials'!O$52*(1-O$29)/SUM('detailed-financials'!O$38,'detailed-financials'!O$26)*(12/'detailed-financials'!O$7)</f>
        <v>9.3731906899106793E-2</v>
      </c>
      <c r="P39" s="55">
        <f>'detailed-financials'!P$52*(1-P$29)/SUM('detailed-financials'!P$38,'detailed-financials'!P$26)*(12/'detailed-financials'!P$7)</f>
        <v>8.3931518468553248E-2</v>
      </c>
      <c r="Q39" s="55">
        <f>'detailed-financials'!Q$52*(1-Q$29)/SUM('detailed-financials'!Q$38,'detailed-financials'!Q$26)*(12/'detailed-financials'!Q$7)</f>
        <v>8.0954181382028714E-2</v>
      </c>
      <c r="R39" s="55">
        <f>'detailed-financials'!R$52*(1-R$29)/SUM('detailed-financials'!R$38,'detailed-financials'!R$26)*(12/'detailed-financials'!R$7)</f>
        <v>7.6846745811751369E-2</v>
      </c>
    </row>
    <row r="40" spans="2:18" x14ac:dyDescent="0.3">
      <c r="B40" s="1" t="s">
        <v>141</v>
      </c>
      <c r="E40" s="55">
        <f>'detailed-financials'!E$52*(1-E$29)/SUM($D$14,'detailed-financials'!E26)*(12/'detailed-financials'!E$7)</f>
        <v>1.3174821909781425E-2</v>
      </c>
      <c r="F40" s="55">
        <f>'detailed-financials'!F$52*(1-F$29)/SUM($D$14)*(12/'detailed-financials'!F$7)</f>
        <v>3.1232619994675293E-2</v>
      </c>
      <c r="G40" s="55">
        <f>'detailed-financials'!G$52*(1-G$29)/SUM($D$14)*(12/'detailed-financials'!G$7)</f>
        <v>4.3200071781800888E-2</v>
      </c>
      <c r="H40" s="55">
        <f>'detailed-financials'!H$52*(1-H$29)/SUM($D$14)*(12/'detailed-financials'!H$7)</f>
        <v>6.8600638299843017E-2</v>
      </c>
      <c r="I40" s="55">
        <f>'detailed-financials'!I$52*(1-I$29)/SUM($D$14)*(12/'detailed-financials'!I$7)</f>
        <v>5.2409774423054188E-2</v>
      </c>
      <c r="J40" s="55">
        <f>'detailed-financials'!J$52*(1-J$29)/SUM($D$14)*(12/'detailed-financials'!J$7)</f>
        <v>3.7600510630043556E-2</v>
      </c>
      <c r="K40" s="55">
        <f>'detailed-financials'!K$52*(1-K$29)/SUM($D$14)*(12/'detailed-financials'!K$7)</f>
        <v>-7.4305606613545086E-2</v>
      </c>
      <c r="L40" s="55">
        <f>'detailed-financials'!L$52*(1-L$29)/SUM($D$14)*(12/'detailed-financials'!L$7)</f>
        <v>3.2699067308407263E-2</v>
      </c>
      <c r="M40" s="55">
        <f>'detailed-financials'!M$52*(1-M$29)/SUM($D$14)*(12/'detailed-financials'!M$7)</f>
        <v>4.1437716606461561E-2</v>
      </c>
      <c r="N40" s="55">
        <f>'detailed-financials'!N$52*(1-N$29)/SUM($D$14)*(12/'detailed-financials'!N$7)</f>
        <v>6.166704980926517E-2</v>
      </c>
      <c r="O40" s="55">
        <f>'detailed-financials'!O$52*(1-O$29)/SUM($D$14)*(12/'detailed-financials'!O$7)</f>
        <v>6.4917823785506257E-2</v>
      </c>
      <c r="P40" s="55">
        <f>'detailed-financials'!P$52*(1-P$29)/SUM($D$14)*(12/'detailed-financials'!P$7)</f>
        <v>6.2591018409019789E-2</v>
      </c>
      <c r="Q40" s="55">
        <f>'detailed-financials'!Q$52*(1-Q$29)/SUM($D$14)*(12/'detailed-financials'!Q$7)</f>
        <v>6.3843073668155087E-2</v>
      </c>
      <c r="R40" s="55">
        <f>'detailed-financials'!R$52*(1-R$29)/SUM($D$14)*(12/'detailed-financials'!R$7)</f>
        <v>6.5120123054282122E-2</v>
      </c>
    </row>
    <row r="41" spans="2:18" x14ac:dyDescent="0.3">
      <c r="B41" s="40"/>
    </row>
    <row r="42" spans="2:18" x14ac:dyDescent="0.3">
      <c r="B42" s="2" t="s">
        <v>203</v>
      </c>
      <c r="C42" s="3"/>
      <c r="D42" s="5"/>
      <c r="E42" s="88"/>
      <c r="F42" s="88"/>
      <c r="G42" s="88"/>
      <c r="H42" s="88"/>
      <c r="I42" s="88"/>
      <c r="J42" s="88"/>
      <c r="K42" s="4"/>
      <c r="L42" s="4"/>
      <c r="M42" s="4"/>
      <c r="N42" s="4"/>
      <c r="O42" s="5"/>
      <c r="P42" s="5"/>
      <c r="Q42" s="5"/>
      <c r="R42" s="5"/>
    </row>
    <row r="43" spans="2:18" x14ac:dyDescent="0.3">
      <c r="B43" s="40"/>
      <c r="F43" s="39"/>
      <c r="G43" s="39"/>
      <c r="H43" s="39"/>
      <c r="I43" s="39"/>
      <c r="J43" s="39"/>
      <c r="K43" s="39"/>
    </row>
    <row r="44" spans="2:18" x14ac:dyDescent="0.3">
      <c r="B44" s="21" t="s">
        <v>193</v>
      </c>
      <c r="E44" s="20">
        <f>E45/(E20/12)</f>
        <v>1657.6389999999999</v>
      </c>
      <c r="F44" s="20">
        <f>F45/(F20/12)</f>
        <v>6725.2640000000001</v>
      </c>
      <c r="G44" s="20">
        <f>G45/(G20/12)</f>
        <v>7148</v>
      </c>
      <c r="H44" s="20">
        <f>H45/(H20/12)</f>
        <v>7782</v>
      </c>
      <c r="I44" s="20">
        <f>I45/(I20/12)</f>
        <v>24427</v>
      </c>
      <c r="J44" s="20">
        <f>J45/(J20/12)</f>
        <v>15243</v>
      </c>
      <c r="K44" s="20">
        <f>K45/(K20/12)</f>
        <v>27196</v>
      </c>
      <c r="L44" s="20">
        <f>L45/(L20/12)</f>
        <v>23538.462803976337</v>
      </c>
      <c r="M44" s="20">
        <f>M45/(M20/12)</f>
        <v>30419.116472246998</v>
      </c>
      <c r="N44" s="20">
        <f>N45/(N20/12)</f>
        <v>42882.26082208343</v>
      </c>
      <c r="O44" s="20">
        <f>O45/(O20/12)</f>
        <v>42882.26082208343</v>
      </c>
      <c r="P44" s="20">
        <f>P45/(P20/12)</f>
        <v>39373.712209367513</v>
      </c>
      <c r="Q44" s="20">
        <f>Q45/(Q20/12)</f>
        <v>40161.186453554859</v>
      </c>
      <c r="R44" s="20">
        <f>R45/(R20/12)</f>
        <v>40964.410182625965</v>
      </c>
    </row>
    <row r="45" spans="2:18" x14ac:dyDescent="0.3">
      <c r="B45" s="47" t="s">
        <v>192</v>
      </c>
      <c r="C45" s="47"/>
      <c r="D45" s="47"/>
      <c r="E45" s="51">
        <f>'detailed-financials'!E44</f>
        <v>1657.6389999999999</v>
      </c>
      <c r="F45" s="51">
        <f>'detailed-financials'!F44</f>
        <v>6725.2640000000001</v>
      </c>
      <c r="G45" s="51">
        <f>'detailed-financials'!G44</f>
        <v>7148</v>
      </c>
      <c r="H45" s="51">
        <f>'detailed-financials'!H44</f>
        <v>7782</v>
      </c>
      <c r="I45" s="51">
        <f>'detailed-financials'!I44</f>
        <v>24427</v>
      </c>
      <c r="J45" s="51">
        <f>'detailed-financials'!J44</f>
        <v>15243</v>
      </c>
      <c r="K45" s="51">
        <f>'detailed-financials'!K44</f>
        <v>13598</v>
      </c>
      <c r="L45" s="48">
        <f>'detailed-financials'!L44</f>
        <v>11769.231401988169</v>
      </c>
      <c r="M45" s="48">
        <f>'detailed-financials'!M44</f>
        <v>30419.116472246998</v>
      </c>
      <c r="N45" s="48">
        <f>'detailed-financials'!N44</f>
        <v>42882.26082208343</v>
      </c>
      <c r="O45" s="48">
        <f>'detailed-financials'!O44</f>
        <v>42882.26082208343</v>
      </c>
      <c r="P45" s="48">
        <f>'detailed-financials'!P44</f>
        <v>39373.712209367513</v>
      </c>
      <c r="Q45" s="48">
        <f>'detailed-financials'!Q44</f>
        <v>40161.186453554859</v>
      </c>
      <c r="R45" s="48">
        <f>'detailed-financials'!R44</f>
        <v>40964.410182625965</v>
      </c>
    </row>
    <row r="46" spans="2:18" x14ac:dyDescent="0.3">
      <c r="B46" s="40" t="s">
        <v>46</v>
      </c>
      <c r="C46" s="40"/>
      <c r="D46" s="40"/>
      <c r="E46" s="52">
        <f>'detailed-financials'!E47-'detailed-financials'!E45</f>
        <v>636.15099999999984</v>
      </c>
      <c r="F46" s="52">
        <f>'detailed-financials'!F47-'detailed-financials'!F45</f>
        <v>2885.9819999999991</v>
      </c>
      <c r="G46" s="52">
        <f>'detailed-financials'!G47-'detailed-financials'!G45</f>
        <v>3462</v>
      </c>
      <c r="H46" s="52">
        <f>'detailed-financials'!H47-'detailed-financials'!H45</f>
        <v>3490</v>
      </c>
      <c r="I46" s="52">
        <f>'detailed-financials'!I47-'detailed-financials'!I45</f>
        <v>10007</v>
      </c>
      <c r="J46" s="52">
        <f>'detailed-financials'!J47-'detailed-financials'!J45</f>
        <v>5181</v>
      </c>
      <c r="K46" s="52">
        <f>'detailed-financials'!K47-'detailed-financials'!K45</f>
        <v>5897</v>
      </c>
      <c r="L46" s="45">
        <f>'detailed-financials'!L47</f>
        <v>4924.4598799376045</v>
      </c>
      <c r="M46" s="45">
        <f>'detailed-financials'!M47</f>
        <v>12727.910050729755</v>
      </c>
      <c r="N46" s="45">
        <f>'detailed-financials'!N47</f>
        <v>17942.715693711049</v>
      </c>
      <c r="O46" s="45">
        <f>'detailed-financials'!O47</f>
        <v>17942.715693711049</v>
      </c>
      <c r="P46" s="45">
        <f>'detailed-financials'!P47</f>
        <v>16474.675318771053</v>
      </c>
      <c r="Q46" s="45">
        <f>'detailed-financials'!Q47</f>
        <v>16804.168825146473</v>
      </c>
      <c r="R46" s="45">
        <f>'detailed-financials'!R47</f>
        <v>17140.252201649408</v>
      </c>
    </row>
    <row r="47" spans="2:18" x14ac:dyDescent="0.3">
      <c r="B47" s="49" t="s">
        <v>153</v>
      </c>
      <c r="C47" s="49"/>
      <c r="D47" s="49"/>
      <c r="E47" s="53">
        <f>E46/E$45</f>
        <v>0.38376932492539079</v>
      </c>
      <c r="F47" s="53">
        <f>F46/F$45</f>
        <v>0.42912545886674469</v>
      </c>
      <c r="G47" s="53">
        <f>G46/G$45</f>
        <v>0.48433128147733634</v>
      </c>
      <c r="H47" s="53">
        <f>H46/H$45</f>
        <v>0.44847083012079159</v>
      </c>
      <c r="I47" s="53">
        <f>I46/I$45</f>
        <v>0.40966962787079869</v>
      </c>
      <c r="J47" s="53">
        <f>J46/J$45</f>
        <v>0.33989372170832516</v>
      </c>
      <c r="K47" s="53">
        <f>K46/K$45</f>
        <v>0.43366671569348436</v>
      </c>
      <c r="L47" s="50">
        <f>L46/L$45</f>
        <v>0.41841813723755306</v>
      </c>
      <c r="M47" s="50">
        <f>M46/M$45</f>
        <v>0.41841813723755306</v>
      </c>
      <c r="N47" s="50">
        <f>N46/N$45</f>
        <v>0.41841813723755306</v>
      </c>
      <c r="O47" s="50">
        <f>O46/O$45</f>
        <v>0.41841813723755306</v>
      </c>
      <c r="P47" s="50">
        <f>P46/P$45</f>
        <v>0.418418137237553</v>
      </c>
      <c r="Q47" s="50">
        <f>Q46/Q$45</f>
        <v>0.41841813723755306</v>
      </c>
      <c r="R47" s="50">
        <f>R46/R$45</f>
        <v>0.41841813723755306</v>
      </c>
    </row>
    <row r="48" spans="2:18" x14ac:dyDescent="0.3">
      <c r="B48" s="40" t="s">
        <v>48</v>
      </c>
      <c r="C48" s="40"/>
      <c r="D48" s="40"/>
      <c r="E48" s="52">
        <f>'detailed-financials'!E50-'detailed-financials'!E45</f>
        <v>-1151.9010000000001</v>
      </c>
      <c r="F48" s="52">
        <f>'detailed-financials'!F50-'detailed-financials'!F45</f>
        <v>166.21299999999928</v>
      </c>
      <c r="G48" s="52">
        <f>'detailed-financials'!G50-'detailed-financials'!G45</f>
        <v>-294</v>
      </c>
      <c r="H48" s="52">
        <f>'detailed-financials'!H50-'detailed-financials'!H45</f>
        <v>-1096</v>
      </c>
      <c r="I48" s="52">
        <f>'detailed-financials'!I50-'detailed-financials'!I45</f>
        <v>4154</v>
      </c>
      <c r="J48" s="52">
        <f>'detailed-financials'!J50-'detailed-financials'!J45</f>
        <v>297</v>
      </c>
      <c r="K48" s="52">
        <f>'detailed-financials'!K50-'detailed-financials'!K45</f>
        <v>2922</v>
      </c>
      <c r="L48" s="45">
        <f>'detailed-financials'!L50</f>
        <v>2323.44670155839</v>
      </c>
      <c r="M48" s="45">
        <f>'detailed-financials'!M50</f>
        <v>6359.075738983548</v>
      </c>
      <c r="N48" s="45">
        <f>'detailed-financials'!N50</f>
        <v>9463.2703500644384</v>
      </c>
      <c r="O48" s="45">
        <f>'detailed-financials'!O50</f>
        <v>9962.0612526318873</v>
      </c>
      <c r="P48" s="45">
        <f>'detailed-financials'!P50</f>
        <v>9604.964251592115</v>
      </c>
      <c r="Q48" s="45">
        <f>'detailed-financials'!Q50</f>
        <v>9797.0635366239585</v>
      </c>
      <c r="R48" s="45">
        <f>'detailed-financials'!R50</f>
        <v>9993.0048073564394</v>
      </c>
    </row>
    <row r="49" spans="2:18" x14ac:dyDescent="0.3">
      <c r="B49" s="49" t="s">
        <v>155</v>
      </c>
      <c r="C49" s="49"/>
      <c r="D49" s="49"/>
      <c r="E49" s="53">
        <f>E48/E$45</f>
        <v>-0.69490462036667822</v>
      </c>
      <c r="F49" s="53">
        <f t="shared" ref="F49" si="5">F48/F$45</f>
        <v>2.4714717518895805E-2</v>
      </c>
      <c r="G49" s="53">
        <f t="shared" ref="G49" si="6">G48/G$45</f>
        <v>-4.1130386121992164E-2</v>
      </c>
      <c r="H49" s="53">
        <f t="shared" ref="H49" si="7">H48/H$45</f>
        <v>-0.1408378308918016</v>
      </c>
      <c r="I49" s="53">
        <f t="shared" ref="I49" si="8">I48/I$45</f>
        <v>0.17005772301142177</v>
      </c>
      <c r="J49" s="53">
        <f t="shared" ref="J49" si="9">J48/J$45</f>
        <v>1.9484353473725645E-2</v>
      </c>
      <c r="K49" s="53">
        <f t="shared" ref="K49" si="10">K48/K$45</f>
        <v>0.21488454184438888</v>
      </c>
      <c r="L49" s="50">
        <f t="shared" ref="L49" si="11">L48/L$45</f>
        <v>0.19741702938782321</v>
      </c>
      <c r="M49" s="50">
        <f t="shared" ref="M49" si="12">M48/M$45</f>
        <v>0.20904866664307217</v>
      </c>
      <c r="N49" s="50">
        <f t="shared" ref="N49" si="13">N48/N$45</f>
        <v>0.22068030389832105</v>
      </c>
      <c r="O49" s="50">
        <f t="shared" ref="O49" si="14">O48/O$45</f>
        <v>0.23231194115357004</v>
      </c>
      <c r="P49" s="50">
        <f t="shared" ref="P49" si="15">P48/P$45</f>
        <v>0.24394357840881892</v>
      </c>
      <c r="Q49" s="50">
        <f t="shared" ref="Q49" si="16">Q48/Q$45</f>
        <v>0.24394357840881897</v>
      </c>
      <c r="R49" s="50">
        <f t="shared" ref="R49" si="17">R48/R$45</f>
        <v>0.24394357840881897</v>
      </c>
    </row>
    <row r="50" spans="2:18" x14ac:dyDescent="0.3">
      <c r="B50" s="40" t="s">
        <v>50</v>
      </c>
      <c r="C50" s="40"/>
      <c r="D50" s="40"/>
      <c r="E50" s="52">
        <f>'detailed-financials'!E52-'detailed-financials'!E45</f>
        <v>-1151.9010000000001</v>
      </c>
      <c r="F50" s="52">
        <f>'detailed-financials'!F52-'detailed-financials'!F45</f>
        <v>166.21299999999928</v>
      </c>
      <c r="G50" s="52">
        <f>'detailed-financials'!G52-'detailed-financials'!G45</f>
        <v>-294</v>
      </c>
      <c r="H50" s="52">
        <f>'detailed-financials'!H52-'detailed-financials'!H45</f>
        <v>-1096</v>
      </c>
      <c r="I50" s="52">
        <f>'detailed-financials'!I52-'detailed-financials'!I45</f>
        <v>3993</v>
      </c>
      <c r="J50" s="52">
        <f>'detailed-financials'!J52-'detailed-financials'!J45</f>
        <v>104</v>
      </c>
      <c r="K50" s="52">
        <f>'detailed-financials'!K52-'detailed-financials'!K45</f>
        <v>2826</v>
      </c>
      <c r="L50" s="45">
        <f>'detailed-financials'!L52</f>
        <v>2323.0467015583899</v>
      </c>
      <c r="M50" s="45">
        <f>'detailed-financials'!M52</f>
        <v>6358.7557389835483</v>
      </c>
      <c r="N50" s="45">
        <f>'detailed-financials'!N52</f>
        <v>9463.014350064439</v>
      </c>
      <c r="O50" s="45">
        <f>'detailed-financials'!O52</f>
        <v>9961.8564526318878</v>
      </c>
      <c r="P50" s="45">
        <f>'detailed-financials'!P52</f>
        <v>9604.8004115921158</v>
      </c>
      <c r="Q50" s="45">
        <f>'detailed-financials'!Q52</f>
        <v>9796.9324646239584</v>
      </c>
      <c r="R50" s="45">
        <f>'detailed-financials'!R52</f>
        <v>9992.89994975644</v>
      </c>
    </row>
    <row r="51" spans="2:18" x14ac:dyDescent="0.3">
      <c r="B51" s="49" t="s">
        <v>158</v>
      </c>
      <c r="C51" s="49"/>
      <c r="D51" s="49"/>
      <c r="E51" s="53">
        <f>E50/E$45</f>
        <v>-0.69490462036667822</v>
      </c>
      <c r="F51" s="53">
        <f t="shared" ref="F51" si="18">F50/F$45</f>
        <v>2.4714717518895805E-2</v>
      </c>
      <c r="G51" s="53">
        <f t="shared" ref="G51" si="19">G50/G$45</f>
        <v>-4.1130386121992164E-2</v>
      </c>
      <c r="H51" s="53">
        <f t="shared" ref="H51" si="20">H50/H$45</f>
        <v>-0.1408378308918016</v>
      </c>
      <c r="I51" s="53">
        <f t="shared" ref="I51" si="21">I50/I$45</f>
        <v>0.16346665574978508</v>
      </c>
      <c r="J51" s="53">
        <f t="shared" ref="J51" si="22">J50/J$45</f>
        <v>6.8228039099914716E-3</v>
      </c>
      <c r="K51" s="53">
        <f t="shared" ref="K51" si="23">K50/K$45</f>
        <v>0.2078246801000147</v>
      </c>
      <c r="L51" s="50">
        <f t="shared" ref="L51" si="24">L50/L$45</f>
        <v>0.19738304246154589</v>
      </c>
      <c r="M51" s="50">
        <f t="shared" ref="M51" si="25">M50/M$45</f>
        <v>0.2090381469424</v>
      </c>
      <c r="N51" s="50">
        <f t="shared" ref="N51" si="26">N50/N$45</f>
        <v>0.22067433406382325</v>
      </c>
      <c r="O51" s="50">
        <f t="shared" ref="O51" si="27">O50/O$45</f>
        <v>0.23230716528597178</v>
      </c>
      <c r="P51" s="50">
        <f t="shared" ref="P51" si="28">P50/P$45</f>
        <v>0.24393941725685214</v>
      </c>
      <c r="Q51" s="50">
        <f t="shared" ref="Q51" si="29">Q50/Q$45</f>
        <v>0.24394031476021757</v>
      </c>
      <c r="R51" s="50">
        <f t="shared" ref="R51" si="30">R50/R$45</f>
        <v>0.24394101868442572</v>
      </c>
    </row>
    <row r="52" spans="2:18" x14ac:dyDescent="0.3">
      <c r="B52" s="40" t="s">
        <v>53</v>
      </c>
      <c r="C52" s="40"/>
      <c r="D52" s="40"/>
      <c r="E52" s="52">
        <f>'detailed-financials'!E57-'detailed-financials'!E45</f>
        <v>-1797.2820000000002</v>
      </c>
      <c r="F52" s="52">
        <f>'detailed-financials'!F57-'detailed-financials'!F45</f>
        <v>-644.20600000000059</v>
      </c>
      <c r="G52" s="52">
        <f>'detailed-financials'!G57-'detailed-financials'!G45</f>
        <v>-1960</v>
      </c>
      <c r="H52" s="52">
        <f>'detailed-financials'!H57-'detailed-financials'!H45</f>
        <v>-3285</v>
      </c>
      <c r="I52" s="52">
        <f>'detailed-financials'!I57-'detailed-financials'!I45</f>
        <v>2295</v>
      </c>
      <c r="J52" s="52">
        <f>'detailed-financials'!J57-'detailed-financials'!J45</f>
        <v>-1522</v>
      </c>
      <c r="K52" s="52">
        <f>'detailed-financials'!K57-'detailed-financials'!K45</f>
        <v>3643</v>
      </c>
      <c r="L52" s="45">
        <f>'detailed-financials'!L57</f>
        <v>1535.8780887155954</v>
      </c>
      <c r="M52" s="45">
        <f>'detailed-financials'!M57</f>
        <v>3912.7978065761936</v>
      </c>
      <c r="N52" s="45">
        <f>'detailed-financials'!N57</f>
        <v>6055.1613698100155</v>
      </c>
      <c r="O52" s="45">
        <f>'detailed-financials'!O57</f>
        <v>6280.3858158884805</v>
      </c>
      <c r="P52" s="45">
        <f>'detailed-financials'!P57</f>
        <v>5966.4011627920263</v>
      </c>
      <c r="Q52" s="45">
        <f>'detailed-financials'!Q57</f>
        <v>6137.402539134122</v>
      </c>
      <c r="R52" s="45">
        <f>'detailed-financials'!R57</f>
        <v>6303.339289800243</v>
      </c>
    </row>
    <row r="53" spans="2:18" x14ac:dyDescent="0.3">
      <c r="B53" s="21" t="s">
        <v>154</v>
      </c>
      <c r="C53" s="21"/>
      <c r="D53" s="21"/>
      <c r="E53" s="54">
        <f>E52/E$45</f>
        <v>-1.0842421057902234</v>
      </c>
      <c r="F53" s="54">
        <f t="shared" ref="F53" si="31">F52/F$45</f>
        <v>-9.578895341506305E-2</v>
      </c>
      <c r="G53" s="54">
        <f t="shared" ref="G53" si="32">G52/G$45</f>
        <v>-0.27420257414661442</v>
      </c>
      <c r="H53" s="54">
        <f t="shared" ref="H53" si="33">H52/H$45</f>
        <v>-0.42212798766383963</v>
      </c>
      <c r="I53" s="54">
        <f t="shared" ref="I53" si="34">I52/I$45</f>
        <v>9.3953412207802844E-2</v>
      </c>
      <c r="J53" s="54">
        <f t="shared" ref="J53" si="35">J52/J$45</f>
        <v>-9.9849111067375193E-2</v>
      </c>
      <c r="K53" s="54">
        <f t="shared" ref="K53" si="36">K52/K$45</f>
        <v>0.26790704515369906</v>
      </c>
      <c r="L53" s="46">
        <f t="shared" ref="L53" si="37">L52/L$45</f>
        <v>0.13049943843029041</v>
      </c>
      <c r="M53" s="46">
        <f t="shared" ref="M53" si="38">M52/M$45</f>
        <v>0.12862956786223723</v>
      </c>
      <c r="N53" s="46">
        <f t="shared" ref="N53" si="39">N52/N$45</f>
        <v>0.14120434076301638</v>
      </c>
      <c r="O53" s="46">
        <f t="shared" ref="O53" si="40">O52/O$45</f>
        <v>0.14645649962219853</v>
      </c>
      <c r="P53" s="46">
        <f t="shared" ref="P53" si="41">P52/P$45</f>
        <v>0.15153260457297046</v>
      </c>
      <c r="Q53" s="46">
        <f t="shared" ref="Q53" si="42">Q52/Q$45</f>
        <v>0.15281925364012425</v>
      </c>
      <c r="R53" s="46">
        <f t="shared" ref="R53" si="43">R52/R$45</f>
        <v>0.15387355174159562</v>
      </c>
    </row>
    <row r="54" spans="2:18" x14ac:dyDescent="0.3">
      <c r="B54" s="40"/>
    </row>
    <row r="55" spans="2:18" x14ac:dyDescent="0.3">
      <c r="B55" s="61" t="s">
        <v>156</v>
      </c>
      <c r="C55" s="61"/>
      <c r="D55" s="61"/>
      <c r="E55" s="65"/>
      <c r="F55" s="65"/>
      <c r="G55" s="65">
        <f>'detailed-financials'!G63/'detailed-financials'!G57*G52</f>
        <v>-4.2024013722126927</v>
      </c>
      <c r="H55" s="65">
        <f>'detailed-financials'!H63/'detailed-financials'!H57*H52</f>
        <v>-7.3335521996060411</v>
      </c>
      <c r="I55" s="65">
        <f>'detailed-financials'!I63/'detailed-financials'!I57*I52</f>
        <v>5.2342105263157892</v>
      </c>
      <c r="J55" s="65">
        <f>'detailed-financials'!J63/'detailed-financials'!J57*J52</f>
        <v>-3.3104948341489937</v>
      </c>
      <c r="K55" s="65">
        <f>'detailed-financials'!K63/'detailed-financials'!K57*K52</f>
        <v>8.2031074082413866</v>
      </c>
      <c r="L55" s="66">
        <f>'detailed-financials'!L63</f>
        <v>3.4584059642323699</v>
      </c>
      <c r="M55" s="66">
        <f>'detailed-financials'!M63</f>
        <v>8.8106232978522705</v>
      </c>
      <c r="N55" s="66">
        <f>'detailed-financials'!N63</f>
        <v>13.63467995904079</v>
      </c>
      <c r="O55" s="66">
        <f>'detailed-financials'!O63</f>
        <v>14.14182800245098</v>
      </c>
      <c r="P55" s="66">
        <f>'detailed-financials'!P63</f>
        <v>13.434814597595196</v>
      </c>
      <c r="Q55" s="66">
        <f>'detailed-financials'!Q63</f>
        <v>13.819866109286473</v>
      </c>
      <c r="R55" s="66">
        <f>'detailed-financials'!R63</f>
        <v>14.193513374916106</v>
      </c>
    </row>
    <row r="56" spans="2:18" x14ac:dyDescent="0.3">
      <c r="B56" s="61" t="s">
        <v>157</v>
      </c>
      <c r="C56" s="61"/>
      <c r="D56" s="61"/>
      <c r="E56" s="62"/>
      <c r="F56" s="63"/>
      <c r="G56" s="63">
        <f>$D$12/G55/(G20/12)</f>
        <v>-63.059183673469391</v>
      </c>
      <c r="H56" s="63">
        <f t="shared" ref="H56:R56" si="44">$D$12/H55/(H20/12)</f>
        <v>-36.135285164294025</v>
      </c>
      <c r="I56" s="63">
        <f t="shared" si="44"/>
        <v>50.628456510809457</v>
      </c>
      <c r="J56" s="63">
        <f t="shared" si="44"/>
        <v>-80.048455978975042</v>
      </c>
      <c r="K56" s="63">
        <f t="shared" si="44"/>
        <v>64.609662366181723</v>
      </c>
      <c r="L56" s="64">
        <f t="shared" si="44"/>
        <v>153.24979354112327</v>
      </c>
      <c r="M56" s="64">
        <f t="shared" si="44"/>
        <v>30.077327226621748</v>
      </c>
      <c r="N56" s="64">
        <f t="shared" si="44"/>
        <v>19.435733056886722</v>
      </c>
      <c r="O56" s="64">
        <f t="shared" si="44"/>
        <v>18.738737308505783</v>
      </c>
      <c r="P56" s="64">
        <f t="shared" si="44"/>
        <v>19.724872127929064</v>
      </c>
      <c r="Q56" s="64">
        <f t="shared" si="44"/>
        <v>19.17529431214454</v>
      </c>
      <c r="R56" s="64">
        <f t="shared" si="44"/>
        <v>18.670500601234423</v>
      </c>
    </row>
    <row r="58" spans="2:18" x14ac:dyDescent="0.3">
      <c r="B58" s="61" t="s">
        <v>159</v>
      </c>
      <c r="C58" s="61"/>
      <c r="D58" s="61"/>
      <c r="E58" s="63">
        <f>SUM($D$14,'detailed-financials'!K26,-'detailed-financials'!K12)/summary!E50</f>
        <v>-108.13776531142867</v>
      </c>
      <c r="F58" s="63">
        <f>SUM($D$14,'detailed-financials'!L26,-'detailed-financials'!L12)/summary!F50</f>
        <v>742.05297444636642</v>
      </c>
      <c r="G58" s="63">
        <f>SUM($D$14,'detailed-financials'!M26,-'detailed-financials'!M12)/summary!G50</f>
        <v>-422.25548915175386</v>
      </c>
      <c r="H58" s="63">
        <f>SUM($D$14,'detailed-financials'!N26,-'detailed-financials'!N12)/summary!H50</f>
        <v>-113.73443524638571</v>
      </c>
      <c r="I58" s="63">
        <f>SUM($D$14,'detailed-financials'!O26,-'detailed-financials'!O12)/summary!I50</f>
        <v>29.144089760618641</v>
      </c>
      <c r="J58" s="63">
        <f>SUM($D$14,'detailed-financials'!P26,-'detailed-financials'!P12)/summary!J50</f>
        <v>1051.1596684084911</v>
      </c>
      <c r="K58" s="63">
        <f>SUM($D$14,'detailed-financials'!Q26,-'detailed-financials'!Q12)/summary!K50</f>
        <v>36.686314009665352</v>
      </c>
      <c r="L58" s="64">
        <f>SUM($D$14,'detailed-financials'!R26,-'detailed-financials'!R12)/summary!L50</f>
        <v>42.131903631545896</v>
      </c>
      <c r="M58" s="64">
        <f>SUM($D$14,'detailed-financials'!S26,-'detailed-financials'!S12)/summary!M50</f>
        <v>18.099452899946936</v>
      </c>
      <c r="N58" s="64">
        <f>SUM($D$14,'detailed-financials'!T26,-'detailed-financials'!T12)/summary!N50</f>
        <v>12.162086597619529</v>
      </c>
      <c r="O58" s="64">
        <f>SUM($D$14,'detailed-financials'!U26,-'detailed-financials'!U12)/summary!O50</f>
        <v>11.553067497734684</v>
      </c>
      <c r="P58" s="64">
        <f>SUM($D$14,'detailed-financials'!V26,-'detailed-financials'!V12)/summary!P50</f>
        <v>11.982549877985688</v>
      </c>
      <c r="Q58" s="64">
        <f>SUM($D$14,'detailed-financials'!W26,-'detailed-financials'!W12)/summary!Q50</f>
        <v>11.747554697920188</v>
      </c>
      <c r="R58" s="64">
        <f>SUM($D$14,'detailed-financials'!X26,-'detailed-financials'!X12)/summary!R50</f>
        <v>11.517177253716538</v>
      </c>
    </row>
    <row r="59" spans="2:18" x14ac:dyDescent="0.3">
      <c r="B59" s="61" t="s">
        <v>160</v>
      </c>
      <c r="C59" s="61"/>
      <c r="D59" s="61"/>
      <c r="E59" s="63">
        <f>$D$84/E50</f>
        <v>-80.678061626712889</v>
      </c>
      <c r="F59" s="63">
        <f>$D$84/F50</f>
        <v>559.12076592007008</v>
      </c>
      <c r="G59" s="63">
        <f>$D$84/G50</f>
        <v>-316.09911519004152</v>
      </c>
      <c r="H59" s="63">
        <f>$D$84/H50</f>
        <v>-84.79301082652573</v>
      </c>
      <c r="I59" s="63">
        <f>$D$84/I50</f>
        <v>23.274014491828751</v>
      </c>
      <c r="J59" s="63">
        <f>$D$84/J50</f>
        <v>893.58788332569429</v>
      </c>
      <c r="K59" s="63">
        <f>$D$84/K50</f>
        <v>32.885045953953366</v>
      </c>
      <c r="L59" s="64">
        <f>$D$84/L50</f>
        <v>40.004852163983202</v>
      </c>
      <c r="M59" s="64">
        <f>$D$84/M50</f>
        <v>14.614988164449864</v>
      </c>
      <c r="N59" s="64">
        <f>$D$84/N50</f>
        <v>9.8206698656479752</v>
      </c>
      <c r="O59" s="64">
        <f>$D$84/O50</f>
        <v>9.3288977117633127</v>
      </c>
      <c r="P59" s="64">
        <f>$D$84/P50</f>
        <v>9.6756971392878093</v>
      </c>
      <c r="Q59" s="64">
        <f>$D$84/Q50</f>
        <v>9.4859426867999037</v>
      </c>
      <c r="R59" s="64">
        <f>$D$84/R50</f>
        <v>9.2999169743651127</v>
      </c>
    </row>
    <row r="61" spans="2:18" x14ac:dyDescent="0.3">
      <c r="B61" s="2" t="str">
        <f>"Discounted Cash Flow ("&amp;cover!E10&amp;")"</f>
        <v>Discounted Cash Flow (£000)</v>
      </c>
      <c r="C61" s="2"/>
      <c r="D61" s="5" t="s">
        <v>110</v>
      </c>
      <c r="E61" s="5">
        <f t="shared" ref="E61:K61" si="45">YEAR(E63)</f>
        <v>2023</v>
      </c>
      <c r="F61" s="2">
        <f t="shared" si="45"/>
        <v>2024</v>
      </c>
      <c r="G61" s="2">
        <f t="shared" si="45"/>
        <v>2025</v>
      </c>
      <c r="H61" s="5">
        <f t="shared" si="45"/>
        <v>2026</v>
      </c>
      <c r="I61" s="5">
        <f t="shared" si="45"/>
        <v>2027</v>
      </c>
      <c r="J61" s="5">
        <f t="shared" si="45"/>
        <v>2028</v>
      </c>
      <c r="K61" s="5">
        <f t="shared" si="45"/>
        <v>2029</v>
      </c>
      <c r="L61" s="5" t="s">
        <v>111</v>
      </c>
    </row>
    <row r="62" spans="2:18" x14ac:dyDescent="0.3">
      <c r="E62" s="1"/>
    </row>
    <row r="63" spans="2:18" x14ac:dyDescent="0.3">
      <c r="B63" s="1" t="s">
        <v>16</v>
      </c>
      <c r="D63" s="16">
        <f>D10</f>
        <v>45009</v>
      </c>
      <c r="E63" s="16">
        <f>EOMONTH(D11,6)</f>
        <v>45016</v>
      </c>
      <c r="F63" s="16">
        <f t="shared" ref="F63:K63" si="46">DATE(YEAR(E63)+1,MONTH(E63),DAY(E63))</f>
        <v>45382</v>
      </c>
      <c r="G63" s="16">
        <f t="shared" si="46"/>
        <v>45747</v>
      </c>
      <c r="H63" s="16">
        <f t="shared" si="46"/>
        <v>46112</v>
      </c>
      <c r="I63" s="16">
        <f t="shared" si="46"/>
        <v>46477</v>
      </c>
      <c r="J63" s="16">
        <f t="shared" si="46"/>
        <v>46843</v>
      </c>
      <c r="K63" s="16">
        <f t="shared" si="46"/>
        <v>47208</v>
      </c>
      <c r="L63" s="16">
        <f>K63</f>
        <v>47208</v>
      </c>
    </row>
    <row r="64" spans="2:18" x14ac:dyDescent="0.3">
      <c r="B64" s="1" t="s">
        <v>147</v>
      </c>
      <c r="D64" s="16"/>
      <c r="E64" s="18">
        <f>MIN(1,YEARFRAC($D$11,E63))*12/L20</f>
        <v>1</v>
      </c>
      <c r="F64" s="18">
        <f t="shared" ref="F64:L64" si="47">MIN(1,YEARFRAC($D$11,F63))</f>
        <v>1</v>
      </c>
      <c r="G64" s="18">
        <f t="shared" si="47"/>
        <v>1</v>
      </c>
      <c r="H64" s="18">
        <f t="shared" si="47"/>
        <v>1</v>
      </c>
      <c r="I64" s="18">
        <f t="shared" si="47"/>
        <v>1</v>
      </c>
      <c r="J64" s="18">
        <f t="shared" ref="J64:K64" si="48">MIN(1,YEARFRAC($D$11,J63))</f>
        <v>1</v>
      </c>
      <c r="K64" s="18">
        <f t="shared" si="48"/>
        <v>1</v>
      </c>
      <c r="L64" s="18">
        <f t="shared" si="47"/>
        <v>1</v>
      </c>
    </row>
    <row r="65" spans="2:13" x14ac:dyDescent="0.3">
      <c r="B65" s="1" t="s">
        <v>112</v>
      </c>
      <c r="E65" s="38">
        <f t="shared" ref="E65:K65" si="49">IF($D$63&gt;E63,0,YEARFRAC($D$63,E63))</f>
        <v>1.9444444444444445E-2</v>
      </c>
      <c r="F65" s="38">
        <f t="shared" si="49"/>
        <v>1.0194444444444444</v>
      </c>
      <c r="G65" s="38">
        <f t="shared" si="49"/>
        <v>2.0194444444444444</v>
      </c>
      <c r="H65" s="38">
        <f t="shared" si="49"/>
        <v>3.0194444444444444</v>
      </c>
      <c r="I65" s="38">
        <f t="shared" si="49"/>
        <v>4.0194444444444448</v>
      </c>
      <c r="J65" s="38">
        <f t="shared" si="49"/>
        <v>5.0194444444444448</v>
      </c>
      <c r="K65" s="38">
        <f t="shared" si="49"/>
        <v>6.0194444444444448</v>
      </c>
      <c r="L65" s="38">
        <f>K65</f>
        <v>6.0194444444444448</v>
      </c>
    </row>
    <row r="66" spans="2:13" x14ac:dyDescent="0.3">
      <c r="B66" s="1" t="s">
        <v>50</v>
      </c>
      <c r="D66" s="19"/>
      <c r="E66" s="24">
        <f>INDEX('detailed-financials'!$E$52:$R$52,MATCH(summary!E63,'detailed-financials'!$E$6:$R$6,0))</f>
        <v>2323.0467015583899</v>
      </c>
      <c r="F66" s="24">
        <f>INDEX('detailed-financials'!$E$52:$R$52,MATCH(summary!F63,'detailed-financials'!$E$6:$R$6,0))</f>
        <v>6358.7557389835483</v>
      </c>
      <c r="G66" s="24">
        <f>INDEX('detailed-financials'!$E$52:$R$52,MATCH(summary!G63,'detailed-financials'!$E$6:$R$6,0))</f>
        <v>9463.014350064439</v>
      </c>
      <c r="H66" s="24">
        <f>INDEX('detailed-financials'!$E$52:$R$52,MATCH(summary!H63,'detailed-financials'!$E$6:$R$6,0))</f>
        <v>9961.8564526318878</v>
      </c>
      <c r="I66" s="24">
        <f>INDEX('detailed-financials'!$E$52:$R$52,MATCH(summary!I63,'detailed-financials'!$E$6:$R$6,0))</f>
        <v>9604.8004115921158</v>
      </c>
      <c r="J66" s="24">
        <f>INDEX('detailed-financials'!$E$52:$R$52,MATCH(summary!J63,'detailed-financials'!$E$6:$R$6,0))</f>
        <v>9796.9324646239584</v>
      </c>
      <c r="K66" s="24">
        <f>INDEX('detailed-financials'!$E$52:$R$52,MATCH(summary!K63,'detailed-financials'!$E$6:$R$6,0))</f>
        <v>9992.89994975644</v>
      </c>
      <c r="L66" s="83">
        <f>K66*(1+$D$9)</f>
        <v>10192.757948751569</v>
      </c>
      <c r="M66" s="24"/>
    </row>
    <row r="67" spans="2:13" x14ac:dyDescent="0.3">
      <c r="B67" s="21" t="s">
        <v>162</v>
      </c>
      <c r="D67" s="19"/>
      <c r="E67" s="44">
        <f t="shared" ref="E67:I67" si="50">INDEX($L$29:$R$29,MATCH(E63,$L$19:$R$19,0))</f>
        <v>0.19</v>
      </c>
      <c r="F67" s="44">
        <f t="shared" si="50"/>
        <v>0.25</v>
      </c>
      <c r="G67" s="44">
        <f t="shared" si="50"/>
        <v>0.25</v>
      </c>
      <c r="H67" s="44">
        <f t="shared" si="50"/>
        <v>0.25</v>
      </c>
      <c r="I67" s="44">
        <f t="shared" si="50"/>
        <v>0.25</v>
      </c>
      <c r="J67" s="44">
        <f t="shared" ref="J67:K67" si="51">INDEX($L$29:$R$29,MATCH(J63,$L$19:$R$19,0))</f>
        <v>0.25</v>
      </c>
      <c r="K67" s="44">
        <f t="shared" si="51"/>
        <v>0.25</v>
      </c>
      <c r="L67" s="44">
        <f>INDEX($L$29:$R$29,MATCH(L63,$L$19:$R$19,0))</f>
        <v>0.25</v>
      </c>
      <c r="M67" s="44"/>
    </row>
    <row r="68" spans="2:13" x14ac:dyDescent="0.3">
      <c r="B68" s="1" t="s">
        <v>113</v>
      </c>
      <c r="D68" s="19"/>
      <c r="E68" s="24">
        <f>-E66*E67</f>
        <v>-441.37887329609407</v>
      </c>
      <c r="F68" s="24">
        <f t="shared" ref="F68:I68" si="52">-F66*F67</f>
        <v>-1589.6889347458871</v>
      </c>
      <c r="G68" s="24">
        <f t="shared" si="52"/>
        <v>-2365.7535875161097</v>
      </c>
      <c r="H68" s="24">
        <f t="shared" si="52"/>
        <v>-2490.464113157972</v>
      </c>
      <c r="I68" s="24">
        <f t="shared" si="52"/>
        <v>-2401.2001028980289</v>
      </c>
      <c r="J68" s="24">
        <f t="shared" ref="J68:K68" si="53">-J66*J67</f>
        <v>-2449.2331161559896</v>
      </c>
      <c r="K68" s="24">
        <f t="shared" si="53"/>
        <v>-2498.22498743911</v>
      </c>
      <c r="L68" s="83">
        <f>-L66*L67</f>
        <v>-2548.1894871878922</v>
      </c>
      <c r="M68" s="24"/>
    </row>
    <row r="69" spans="2:13" x14ac:dyDescent="0.3">
      <c r="B69" s="1" t="s">
        <v>114</v>
      </c>
      <c r="D69" s="19"/>
      <c r="E69" s="24">
        <f>-INDEX('detailed-financials'!$E$51:$R$51,MATCH(summary!E63,'detailed-financials'!$E$6:$R$6,0))</f>
        <v>0.4</v>
      </c>
      <c r="F69" s="24">
        <f>-INDEX('detailed-financials'!$E$51:$R$51,MATCH(summary!F63,'detailed-financials'!$E$6:$R$6,0))</f>
        <v>0.32000000000000006</v>
      </c>
      <c r="G69" s="24">
        <f>-INDEX('detailed-financials'!$E$51:$R$51,MATCH(summary!G63,'detailed-financials'!$E$6:$R$6,0))</f>
        <v>0.25600000000000001</v>
      </c>
      <c r="H69" s="24">
        <f>-INDEX('detailed-financials'!$E$51:$R$51,MATCH(summary!H63,'detailed-financials'!$E$6:$R$6,0))</f>
        <v>0.20480000000000001</v>
      </c>
      <c r="I69" s="24">
        <f>-INDEX('detailed-financials'!$E$51:$R$51,MATCH(summary!I63,'detailed-financials'!$E$6:$R$6,0))</f>
        <v>0.16384000000000001</v>
      </c>
      <c r="J69" s="24">
        <f>-INDEX('detailed-financials'!$E$51:$R$51,MATCH(summary!J63,'detailed-financials'!$E$6:$R$6,0))</f>
        <v>0.13107200000000002</v>
      </c>
      <c r="K69" s="24">
        <f>-INDEX('detailed-financials'!$E$51:$R$51,MATCH(summary!K63,'detailed-financials'!$E$6:$R$6,0))</f>
        <v>0.10485760000000002</v>
      </c>
      <c r="L69" s="83">
        <f>K69/$K$66*$L$66</f>
        <v>0.10695475200000001</v>
      </c>
      <c r="M69" s="24"/>
    </row>
    <row r="70" spans="2:13" x14ac:dyDescent="0.3">
      <c r="B70" s="1" t="s">
        <v>115</v>
      </c>
      <c r="D70" s="19"/>
      <c r="E70" s="24">
        <f>INDEX('detailed-financials'!$E$81:$R$81,MATCH(summary!E63,'detailed-financials'!$E$6:$R$6,0))</f>
        <v>0</v>
      </c>
      <c r="F70" s="24">
        <f>INDEX('detailed-financials'!$E$81:$R$81,MATCH(summary!F63,'detailed-financials'!$E$6:$R$6,0))</f>
        <v>0</v>
      </c>
      <c r="G70" s="24">
        <f>INDEX('detailed-financials'!$E$81:$R$81,MATCH(summary!G63,'detailed-financials'!$E$6:$R$6,0))</f>
        <v>0</v>
      </c>
      <c r="H70" s="24">
        <f>INDEX('detailed-financials'!$E$81:$R$81,MATCH(summary!H63,'detailed-financials'!$E$6:$R$6,0))</f>
        <v>0</v>
      </c>
      <c r="I70" s="24">
        <f>INDEX('detailed-financials'!$E$81:$R$81,MATCH(summary!I63,'detailed-financials'!$E$6:$R$6,0))</f>
        <v>0</v>
      </c>
      <c r="J70" s="24">
        <f>INDEX('detailed-financials'!$E$81:$R$81,MATCH(summary!J63,'detailed-financials'!$E$6:$R$6,0))</f>
        <v>0</v>
      </c>
      <c r="K70" s="24">
        <f>INDEX('detailed-financials'!$E$81:$R$81,MATCH(summary!K63,'detailed-financials'!$E$6:$R$6,0))</f>
        <v>0</v>
      </c>
      <c r="L70" s="83">
        <f>K70/$K$66*$L$66</f>
        <v>0</v>
      </c>
      <c r="M70" s="24"/>
    </row>
    <row r="71" spans="2:13" x14ac:dyDescent="0.3">
      <c r="B71" s="1" t="s">
        <v>116</v>
      </c>
      <c r="D71" s="19"/>
      <c r="E71" s="24">
        <f>INDEX('detailed-financials'!$E$72:$R$72,MATCH(summary!E63,'detailed-financials'!$E$6:$R$6,0))</f>
        <v>1453.8708696310405</v>
      </c>
      <c r="F71" s="24">
        <f>INDEX('detailed-financials'!$E$72:$R$72,MATCH(summary!F63,'detailed-financials'!$E$6:$R$6,0))</f>
        <v>-2520.3805755384583</v>
      </c>
      <c r="G71" s="24">
        <f>INDEX('detailed-financials'!$E$72:$R$72,MATCH(summary!G63,'detailed-financials'!$E$6:$R$6,0))</f>
        <v>-4565.2445892331125</v>
      </c>
      <c r="H71" s="24">
        <f>INDEX('detailed-financials'!$E$72:$R$72,MATCH(summary!H63,'detailed-financials'!$E$6:$R$6,0))</f>
        <v>0</v>
      </c>
      <c r="I71" s="24">
        <f>INDEX('detailed-financials'!$E$72:$R$72,MATCH(summary!I63,'detailed-financials'!$E$6:$R$6,0))</f>
        <v>1285.1798968751318</v>
      </c>
      <c r="J71" s="24">
        <f>INDEX('detailed-financials'!$E$72:$R$72,MATCH(summary!J63,'detailed-financials'!$E$6:$R$6,0))</f>
        <v>-288.45148796530702</v>
      </c>
      <c r="K71" s="24">
        <f>INDEX('detailed-financials'!$E$72:$R$72,MATCH(summary!K63,'detailed-financials'!$E$6:$R$6,0))</f>
        <v>-294.22051772461782</v>
      </c>
      <c r="L71" s="83">
        <f>(L66-K66)/(K66-E66)*SUM(E71:K71)</f>
        <v>-128.44435101543755</v>
      </c>
      <c r="M71" s="24"/>
    </row>
    <row r="72" spans="2:13" x14ac:dyDescent="0.3">
      <c r="B72" s="1" t="s">
        <v>199</v>
      </c>
      <c r="D72" s="19"/>
      <c r="E72" s="24">
        <f>INDEX('detailed-financials'!$E$83:$R$83,MATCH(summary!E63,'detailed-financials'!$E$6:$R$6,0))+INDEX('detailed-financials'!$E$84:$R$84,MATCH(summary!E63,'detailed-financials'!$E$6:$R$6,0))</f>
        <v>-1765</v>
      </c>
      <c r="F72" s="24">
        <f>INDEX('detailed-financials'!$E$83:$R$83,MATCH(summary!F63,'detailed-financials'!$E$6:$R$6,0))+INDEX('detailed-financials'!$E$84:$R$84,MATCH(summary!F63,'detailed-financials'!$E$6:$R$6,0))</f>
        <v>-2197</v>
      </c>
      <c r="G72" s="24">
        <f>INDEX('detailed-financials'!$E$83:$R$83,MATCH(summary!G63,'detailed-financials'!$E$6:$R$6,0))+INDEX('detailed-financials'!$E$84:$R$84,MATCH(summary!G63,'detailed-financials'!$E$6:$R$6,0))</f>
        <v>-2000</v>
      </c>
      <c r="H72" s="24">
        <f>INDEX('detailed-financials'!$E$83:$R$83,MATCH(summary!H63,'detailed-financials'!$E$6:$R$6,0))+INDEX('detailed-financials'!$E$84:$R$84,MATCH(summary!H63,'detailed-financials'!$E$6:$R$6,0))</f>
        <v>2000</v>
      </c>
      <c r="I72" s="24">
        <f>INDEX('detailed-financials'!$E$83:$R$83,MATCH(summary!I63,'detailed-financials'!$E$6:$R$6,0))+INDEX('detailed-financials'!$E$84:$R$84,MATCH(summary!I63,'detailed-financials'!$E$6:$R$6,0))</f>
        <v>-200</v>
      </c>
      <c r="J72" s="24">
        <f>INDEX('detailed-financials'!$E$83:$R$83,MATCH(summary!J63,'detailed-financials'!$E$6:$R$6,0))+INDEX('detailed-financials'!$E$84:$R$84,MATCH(summary!J63,'detailed-financials'!$E$6:$R$6,0))</f>
        <v>-204</v>
      </c>
      <c r="K72" s="24">
        <f>INDEX('detailed-financials'!$E$83:$R$83,MATCH(summary!K63,'detailed-financials'!$E$6:$R$6,0))+INDEX('detailed-financials'!$E$84:$R$84,MATCH(summary!K63,'detailed-financials'!$E$6:$R$6,0))</f>
        <v>-208.07999999999993</v>
      </c>
      <c r="L72" s="83">
        <f>(L66-K66)/(K66-E66)*SUM(E72:K72)</f>
        <v>-119.18956549245729</v>
      </c>
      <c r="M72" s="24"/>
    </row>
    <row r="73" spans="2:13" x14ac:dyDescent="0.3">
      <c r="B73" s="1" t="s">
        <v>137</v>
      </c>
      <c r="D73" s="19"/>
      <c r="E73" s="24">
        <f>INDEX('detailed-financials'!$E$76:$R$76,MATCH(summary!E63,'detailed-financials'!$E$6:$R$6,0))</f>
        <v>0</v>
      </c>
      <c r="F73" s="24">
        <f>INDEX('detailed-financials'!$E$76:$R$76,MATCH(summary!F63,'detailed-financials'!$E$6:$R$6,0))</f>
        <v>0</v>
      </c>
      <c r="G73" s="24">
        <f>INDEX('detailed-financials'!$E$76:$R$76,MATCH(summary!G63,'detailed-financials'!$E$6:$R$6,0))</f>
        <v>0</v>
      </c>
      <c r="H73" s="24">
        <f>INDEX('detailed-financials'!$E$76:$R$76,MATCH(summary!H63,'detailed-financials'!$E$6:$R$6,0))</f>
        <v>0</v>
      </c>
      <c r="I73" s="24">
        <f>INDEX('detailed-financials'!$E$76:$R$76,MATCH(summary!I63,'detailed-financials'!$E$6:$R$6,0))</f>
        <v>0</v>
      </c>
      <c r="J73" s="24">
        <f>INDEX('detailed-financials'!$E$76:$R$76,MATCH(summary!J63,'detailed-financials'!$E$6:$R$6,0))</f>
        <v>0</v>
      </c>
      <c r="K73" s="24">
        <f>INDEX('detailed-financials'!$E$76:$R$76,MATCH(summary!K63,'detailed-financials'!$E$6:$R$6,0))</f>
        <v>0</v>
      </c>
      <c r="L73" s="83">
        <f>INDEX('detailed-financials'!$E$76:$R$76,MATCH(summary!L63,'detailed-financials'!$E$6:$R$6,0))</f>
        <v>0</v>
      </c>
      <c r="M73" s="24"/>
    </row>
    <row r="74" spans="2:13" x14ac:dyDescent="0.3">
      <c r="B74" s="1" t="s">
        <v>144</v>
      </c>
      <c r="D74" s="19"/>
      <c r="E74" s="24">
        <f>INDEX('detailed-financials'!$E$92:$R$92,MATCH(summary!E63,'detailed-financials'!$E$6:$R$6,0))</f>
        <v>0</v>
      </c>
      <c r="F74" s="24">
        <f>INDEX('detailed-financials'!$E$92:$R$92,MATCH(summary!F63,'detailed-financials'!$E$6:$R$6,0))</f>
        <v>0</v>
      </c>
      <c r="G74" s="24">
        <f>INDEX('detailed-financials'!$E$92:$R$92,MATCH(summary!G63,'detailed-financials'!$E$6:$R$6,0))</f>
        <v>0</v>
      </c>
      <c r="H74" s="24">
        <f>INDEX('detailed-financials'!$E$92:$R$92,MATCH(summary!H63,'detailed-financials'!$E$6:$R$6,0))</f>
        <v>0</v>
      </c>
      <c r="I74" s="24">
        <f>INDEX('detailed-financials'!$E$92:$R$92,MATCH(summary!I63,'detailed-financials'!$E$6:$R$6,0))</f>
        <v>0</v>
      </c>
      <c r="J74" s="24">
        <f>INDEX('detailed-financials'!$E$92:$R$92,MATCH(summary!J63,'detailed-financials'!$E$6:$R$6,0))</f>
        <v>0</v>
      </c>
      <c r="K74" s="24">
        <f>INDEX('detailed-financials'!$E$92:$R$92,MATCH(summary!K63,'detailed-financials'!$E$6:$R$6,0))</f>
        <v>0</v>
      </c>
      <c r="L74" s="83">
        <f>INDEX('detailed-financials'!$E$92:$R$92,MATCH(summary!L63,'detailed-financials'!$E$6:$R$6,0))</f>
        <v>0</v>
      </c>
      <c r="M74" s="24"/>
    </row>
    <row r="75" spans="2:13" x14ac:dyDescent="0.3">
      <c r="B75" s="1" t="s">
        <v>118</v>
      </c>
      <c r="D75" s="19"/>
      <c r="E75" s="24">
        <f>SUM(E68:E74,E66)*E64</f>
        <v>1570.9386978933362</v>
      </c>
      <c r="F75" s="24">
        <f t="shared" ref="F75:I75" si="54">SUM(F68:F74,F66)*F64</f>
        <v>52.006228699202438</v>
      </c>
      <c r="G75" s="24">
        <f t="shared" si="54"/>
        <v>532.2721733152157</v>
      </c>
      <c r="H75" s="24">
        <f t="shared" si="54"/>
        <v>9471.5971394739154</v>
      </c>
      <c r="I75" s="24">
        <f t="shared" si="54"/>
        <v>8288.9440455692184</v>
      </c>
      <c r="J75" s="24">
        <f t="shared" ref="J75:K75" si="55">SUM(J68:J74,J66)*J64</f>
        <v>6855.3789325026619</v>
      </c>
      <c r="K75" s="24">
        <f t="shared" si="55"/>
        <v>6992.4793021927126</v>
      </c>
      <c r="L75" s="24">
        <f>SUM(L68:L74,L66)*L64</f>
        <v>7397.0414998077813</v>
      </c>
      <c r="M75" s="24"/>
    </row>
    <row r="76" spans="2:13" x14ac:dyDescent="0.3">
      <c r="B76" s="1" t="s">
        <v>130</v>
      </c>
      <c r="D76" s="19"/>
      <c r="E76" s="19"/>
      <c r="F76" s="19"/>
      <c r="G76" s="19"/>
      <c r="H76" s="19"/>
      <c r="I76" s="19"/>
      <c r="J76" s="19"/>
      <c r="K76" s="19"/>
      <c r="L76" s="39">
        <f>($L$75*(1+$D$9))/($D$8-$D$9)</f>
        <v>113382.05020379553</v>
      </c>
      <c r="M76" s="39"/>
    </row>
    <row r="77" spans="2:13" x14ac:dyDescent="0.3">
      <c r="B77" s="1" t="s">
        <v>131</v>
      </c>
      <c r="D77" s="19"/>
      <c r="E77" s="24">
        <f>E75/(1+$D$8)^E65</f>
        <v>1568.4053390556683</v>
      </c>
      <c r="F77" s="24">
        <f t="shared" ref="F77:I77" si="56">F75/(1+$D$8)^F65</f>
        <v>47.786674651224082</v>
      </c>
      <c r="G77" s="24">
        <f t="shared" si="56"/>
        <v>450.12961358551144</v>
      </c>
      <c r="H77" s="24">
        <f t="shared" si="56"/>
        <v>7371.8996686340352</v>
      </c>
      <c r="I77" s="24">
        <f t="shared" si="56"/>
        <v>5937.5568496137612</v>
      </c>
      <c r="J77" s="24">
        <f t="shared" ref="J77:K77" si="57">J75/(1+$D$8)^J65</f>
        <v>4519.5210463050607</v>
      </c>
      <c r="K77" s="24">
        <f t="shared" si="57"/>
        <v>4242.7213737485554</v>
      </c>
      <c r="L77" s="24">
        <f>L76/(1+$D$8)^L65</f>
        <v>68795.119300278384</v>
      </c>
      <c r="M77" s="24"/>
    </row>
    <row r="78" spans="2:13" x14ac:dyDescent="0.3">
      <c r="D78" s="19"/>
      <c r="E78" s="24"/>
      <c r="F78" s="24"/>
      <c r="G78" s="24"/>
      <c r="H78" s="24"/>
      <c r="I78" s="24"/>
      <c r="J78" s="24"/>
      <c r="K78" s="24"/>
      <c r="L78" s="24"/>
    </row>
    <row r="79" spans="2:13" x14ac:dyDescent="0.3">
      <c r="B79" s="1" t="s">
        <v>145</v>
      </c>
      <c r="D79" s="19"/>
      <c r="E79" s="24">
        <f>-INDEX('detailed-financials'!E60:R60,MATCH(summary!E63,'detailed-financials'!E6:R6,0))</f>
        <v>0</v>
      </c>
      <c r="F79" s="24">
        <f>-INDEX('detailed-financials'!F60:S60,MATCH(summary!F63,'detailed-financials'!F6:S6,0))</f>
        <v>0</v>
      </c>
      <c r="G79" s="24">
        <f>-INDEX('detailed-financials'!G60:T60,MATCH(summary!G63,'detailed-financials'!G6:T6,0))</f>
        <v>0</v>
      </c>
      <c r="H79" s="24">
        <f>-INDEX('detailed-financials'!H60:U60,MATCH(summary!H63,'detailed-financials'!H6:U6,0))</f>
        <v>0</v>
      </c>
      <c r="I79" s="24">
        <f>-INDEX('detailed-financials'!I60:V60,MATCH(summary!I63,'detailed-financials'!I6:V6,0))</f>
        <v>0</v>
      </c>
      <c r="J79" s="24">
        <f>-INDEX('detailed-financials'!J60:W60,MATCH(summary!J63,'detailed-financials'!J6:W6,0))</f>
        <v>0</v>
      </c>
      <c r="K79" s="24">
        <f>-INDEX('detailed-financials'!K60:X60,MATCH(summary!K63,'detailed-financials'!K6:X6,0))</f>
        <v>0</v>
      </c>
      <c r="L79" s="24">
        <f>I79*(1+$D$9)</f>
        <v>0</v>
      </c>
    </row>
    <row r="80" spans="2:13" x14ac:dyDescent="0.3">
      <c r="B80" s="1" t="s">
        <v>177</v>
      </c>
      <c r="D80" s="19"/>
      <c r="E80" s="24"/>
      <c r="F80" s="24"/>
      <c r="G80" s="24"/>
      <c r="H80" s="24"/>
      <c r="I80" s="24"/>
      <c r="J80" s="24"/>
      <c r="K80" s="24"/>
      <c r="L80" s="24">
        <f>($L$79*(1+$D$9))/($D$8-$D$9)</f>
        <v>0</v>
      </c>
    </row>
    <row r="81" spans="2:12" x14ac:dyDescent="0.3">
      <c r="B81" s="1" t="s">
        <v>176</v>
      </c>
      <c r="D81" s="19"/>
      <c r="E81" s="24">
        <f>E79/(1+$D$8)^E65</f>
        <v>0</v>
      </c>
      <c r="F81" s="24">
        <f t="shared" ref="F81:I81" si="58">F79/(1+$D$8)^F65</f>
        <v>0</v>
      </c>
      <c r="G81" s="24">
        <f t="shared" si="58"/>
        <v>0</v>
      </c>
      <c r="H81" s="24">
        <f t="shared" si="58"/>
        <v>0</v>
      </c>
      <c r="I81" s="24">
        <f t="shared" si="58"/>
        <v>0</v>
      </c>
      <c r="J81" s="24">
        <f t="shared" ref="J81" si="59">J79/(1+$D$8)^J65</f>
        <v>0</v>
      </c>
      <c r="K81" s="24">
        <f t="shared" ref="K81" si="60">K79/(1+$D$8)^K65</f>
        <v>0</v>
      </c>
      <c r="L81" s="24">
        <f>L80/(1+$D$8)^L65</f>
        <v>0</v>
      </c>
    </row>
    <row r="82" spans="2:12" x14ac:dyDescent="0.3">
      <c r="D82" s="19"/>
      <c r="E82" s="20"/>
      <c r="F82" s="19"/>
      <c r="G82" s="19"/>
      <c r="H82" s="19"/>
      <c r="I82" s="19"/>
      <c r="J82" s="19"/>
    </row>
    <row r="83" spans="2:12" x14ac:dyDescent="0.3">
      <c r="B83" s="2" t="s">
        <v>120</v>
      </c>
      <c r="C83" s="2"/>
      <c r="D83" s="2"/>
      <c r="F83" s="2" t="s">
        <v>117</v>
      </c>
      <c r="G83" s="2"/>
      <c r="H83" s="2"/>
    </row>
    <row r="84" spans="2:12" x14ac:dyDescent="0.3">
      <c r="B84" s="1" t="s">
        <v>121</v>
      </c>
      <c r="D84" s="39">
        <f>SUM(E77:L77)</f>
        <v>92933.139865872203</v>
      </c>
      <c r="F84" s="1" t="s">
        <v>119</v>
      </c>
      <c r="H84" s="38">
        <f>D12</f>
        <v>265</v>
      </c>
    </row>
    <row r="85" spans="2:12" x14ac:dyDescent="0.3">
      <c r="B85" s="1" t="s">
        <v>122</v>
      </c>
      <c r="D85" s="39">
        <f>-(INDEX('detailed-financials'!$E$26:$R$26,MATCH($D$11,'detailed-financials'!$E$6:$R$6,0))-INDEX('detailed-financials'!$E$12:$R$12,MATCH($D$11,'detailed-financials'!$E$6:$R$6,0)))</f>
        <v>-9474</v>
      </c>
      <c r="F85" s="1" t="s">
        <v>132</v>
      </c>
      <c r="H85" s="38">
        <f>D93-H84</f>
        <v>-74.632650606007189</v>
      </c>
    </row>
    <row r="86" spans="2:12" x14ac:dyDescent="0.3">
      <c r="B86" s="1" t="s">
        <v>142</v>
      </c>
      <c r="D86" s="39">
        <f>(INDEX('detailed-financials'!$E$15:$R$15,MATCH($D$11,'detailed-financials'!$E$6:$R$6,0))+INDEX('detailed-financials'!$E$16:$R$16,MATCH($D$11,'detailed-financials'!$E$6:$R$6,0))+INDEX('detailed-financials'!$E$17:$R$17,MATCH($D$11,'detailed-financials'!$E$6:$R$6,0)))</f>
        <v>1083</v>
      </c>
      <c r="F86" s="1" t="s">
        <v>133</v>
      </c>
      <c r="H86" s="31">
        <f>1-(H84/D93)</f>
        <v>-0.39204543659188174</v>
      </c>
    </row>
    <row r="87" spans="2:12" x14ac:dyDescent="0.3">
      <c r="B87" s="1" t="s">
        <v>143</v>
      </c>
      <c r="D87" s="39">
        <f>-(INDEX('detailed-financials'!$E$25:$R$25,MATCH($D$11,'detailed-financials'!$E$6:$R$6,0))+INDEX('detailed-financials'!$E$24:$R$24,MATCH($D$11,'detailed-financials'!$E$6:$R$6,0))+INDEX('detailed-financials'!$E$27:$R$27,MATCH($D$11,'detailed-financials'!$E$6:$R$6,0)))</f>
        <v>0</v>
      </c>
      <c r="F87" s="1" t="s">
        <v>134</v>
      </c>
      <c r="H87" s="18">
        <f>D93*0.7</f>
        <v>133.25714457579497</v>
      </c>
    </row>
    <row r="88" spans="2:12" x14ac:dyDescent="0.3">
      <c r="B88" s="1" t="s">
        <v>149</v>
      </c>
      <c r="D88" s="83"/>
    </row>
    <row r="89" spans="2:12" x14ac:dyDescent="0.3">
      <c r="B89" s="40" t="s">
        <v>123</v>
      </c>
      <c r="C89" s="40"/>
      <c r="D89" s="41">
        <f>SUM(D84:D88)</f>
        <v>84542.139865872203</v>
      </c>
    </row>
    <row r="90" spans="2:12" x14ac:dyDescent="0.3">
      <c r="B90" s="1" t="s">
        <v>145</v>
      </c>
      <c r="D90" s="39">
        <f>SUM(E81:L81)</f>
        <v>0</v>
      </c>
    </row>
    <row r="91" spans="2:12" x14ac:dyDescent="0.3">
      <c r="B91" s="40" t="s">
        <v>146</v>
      </c>
      <c r="C91" s="40"/>
      <c r="D91" s="41">
        <f>SUM(D89:D90)</f>
        <v>84542.139865872203</v>
      </c>
    </row>
    <row r="93" spans="2:12" x14ac:dyDescent="0.3">
      <c r="B93" s="1" t="s">
        <v>124</v>
      </c>
      <c r="D93" s="70">
        <f>D91*10^5/D13</f>
        <v>190.36734939399281</v>
      </c>
    </row>
  </sheetData>
  <sheetProtection algorithmName="SHA-512" hashValue="/IeXTK9WblltVlyz2S8rwC3+tOG5Q5/gsJVtAv+wiyzGmXKSahXnQsUKULijRsbeSbJQJwG+j/vrboCU23NxNw==" saltValue="YmSQgvU/lymHWBgZbXj9lA==" spinCount="100000" sheet="1" formatCells="0" formatColumns="0" formatRows="0" insertColumns="0" insertRows="0" insertHyperlinks="0" deleteColumns="0" deleteRows="0" selectLockedCells="1" sort="0" autoFilter="0" pivotTables="0"/>
  <conditionalFormatting sqref="D17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 id="{E3298429-3BA3-4781-AF4F-0CE3148DC9A9}">
            <xm:f>K$19&lt;cover!$E$13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D23 E24:R27 E30:K30 E29:R29 E28:K28 E31:R40</xm:sqref>
        </x14:conditionalFormatting>
        <x14:conditionalFormatting xmlns:xm="http://schemas.microsoft.com/office/excel/2006/main">
          <x14:cfRule type="expression" priority="62" id="{E8FF0C00-272B-44E0-9369-8764AD5348F8}">
            <xm:f>D$15&gt;cover!$E$14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E66 E69:E74</xm:sqref>
        </x14:conditionalFormatting>
        <x14:conditionalFormatting xmlns:xm="http://schemas.microsoft.com/office/excel/2006/main">
          <x14:cfRule type="expression" priority="16" id="{DB512228-930D-44C3-A266-091211F65F0B}">
            <xm:f>E$19&gt;cover!$E$13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E45:K45 E47:K47 E49:K49 E51:K51 E53:K53</xm:sqref>
        </x14:conditionalFormatting>
        <x14:conditionalFormatting xmlns:xm="http://schemas.microsoft.com/office/excel/2006/main">
          <x14:cfRule type="expression" priority="7" id="{618AEBED-0E62-46BE-8967-B7B73A9972BF}">
            <xm:f>E$15&gt;cover!$E$14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F72</xm:sqref>
        </x14:conditionalFormatting>
        <x14:conditionalFormatting xmlns:xm="http://schemas.microsoft.com/office/excel/2006/main">
          <x14:cfRule type="expression" priority="10" id="{E8FF0C00-272B-44E0-9369-8764AD5348F8}">
            <xm:f>F$6&gt;cover!$E$14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F73:F74</xm:sqref>
        </x14:conditionalFormatting>
        <x14:conditionalFormatting xmlns:xm="http://schemas.microsoft.com/office/excel/2006/main">
          <x14:cfRule type="expression" priority="11" id="{699A536D-8A4B-46C5-B510-BA0959C6B272}">
            <xm:f>#REF!&gt;cover!$E$14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F66:H66 F69:H71</xm:sqref>
        </x14:conditionalFormatting>
        <x14:conditionalFormatting xmlns:xm="http://schemas.microsoft.com/office/excel/2006/main">
          <x14:cfRule type="expression" priority="5" id="{2479B380-207C-43D4-8999-7C1D690E57DA}">
            <xm:f>#REF!&gt;cover!$E$14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G72:G73</xm:sqref>
        </x14:conditionalFormatting>
        <x14:conditionalFormatting xmlns:xm="http://schemas.microsoft.com/office/excel/2006/main">
          <x14:cfRule type="expression" priority="58" id="{E8FF0C00-272B-44E0-9369-8764AD5348F8}">
            <xm:f>#REF!&gt;cover!$E$14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G74:K74 H73:K73 I66 I69:I71 K66 K69:K71</xm:sqref>
        </x14:conditionalFormatting>
        <x14:conditionalFormatting xmlns:xm="http://schemas.microsoft.com/office/excel/2006/main">
          <x14:cfRule type="expression" priority="4" id="{7A050EF8-4DDA-4329-8A12-7A346FF43EF3}">
            <xm:f>#REF!&gt;cover!$E$14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H72</xm:sqref>
        </x14:conditionalFormatting>
        <x14:conditionalFormatting xmlns:xm="http://schemas.microsoft.com/office/excel/2006/main">
          <x14:cfRule type="expression" priority="3" id="{791ECC4C-841D-45FD-BC89-5692D5FCFCC1}">
            <xm:f>#REF!&gt;cover!$E$14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I72</xm:sqref>
        </x14:conditionalFormatting>
        <x14:conditionalFormatting xmlns:xm="http://schemas.microsoft.com/office/excel/2006/main">
          <x14:cfRule type="expression" priority="8" id="{8B205539-E932-4649-B9DE-254DB7AA75FF}">
            <xm:f>#REF!&gt;cover!$E$14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J66</xm:sqref>
        </x14:conditionalFormatting>
        <x14:conditionalFormatting xmlns:xm="http://schemas.microsoft.com/office/excel/2006/main">
          <x14:cfRule type="expression" priority="2" id="{612A20F4-7F32-4BEF-A935-009557F7C5D7}">
            <xm:f>#REF!&gt;cover!$E$14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J69:J72</xm:sqref>
        </x14:conditionalFormatting>
        <x14:conditionalFormatting xmlns:xm="http://schemas.microsoft.com/office/excel/2006/main">
          <x14:cfRule type="expression" priority="1" id="{092816F4-4D5E-438E-98B9-DE1D3D4161FF}">
            <xm:f>#REF!&gt;cover!$E$14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K72</xm:sqref>
        </x14:conditionalFormatting>
        <x14:conditionalFormatting xmlns:xm="http://schemas.microsoft.com/office/excel/2006/main">
          <x14:cfRule type="expression" priority="9" id="{920726A5-BC94-4313-B203-BB0F3DF1C859}">
            <xm:f>J$6&gt;cover!$E$14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L79 M66 M69:M74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3B2A8-5C40-4A5F-9E02-CB49A082C27D}">
  <dimension ref="A1:I25"/>
  <sheetViews>
    <sheetView topLeftCell="A4" workbookViewId="0">
      <selection activeCell="E15" sqref="E15"/>
    </sheetView>
  </sheetViews>
  <sheetFormatPr defaultColWidth="9.109375" defaultRowHeight="14.4" x14ac:dyDescent="0.3"/>
  <cols>
    <col min="1" max="1" width="2.6640625" style="1" customWidth="1"/>
    <col min="2" max="4" width="12.6640625" style="1" customWidth="1"/>
    <col min="5" max="5" width="12.6640625" style="8" customWidth="1"/>
    <col min="6" max="9" width="12.6640625" style="1" customWidth="1"/>
    <col min="10" max="10" width="14.33203125" style="1" bestFit="1" customWidth="1"/>
    <col min="11" max="50" width="12.6640625" style="1" customWidth="1"/>
    <col min="51" max="16384" width="9.109375" style="1"/>
  </cols>
  <sheetData>
    <row r="1" spans="1:9" ht="33.6" x14ac:dyDescent="0.65">
      <c r="B1" s="86" t="s">
        <v>174</v>
      </c>
    </row>
    <row r="2" spans="1:9" s="15" customFormat="1" ht="15" thickBot="1" x14ac:dyDescent="0.35">
      <c r="A2" s="13"/>
      <c r="B2" s="14" t="str">
        <f>UPPER(cover!E8&amp;" - "&amp;DAY(cover!E12)&amp;"/"&amp;MONTH(cover!E12)&amp;"/"&amp;YEAR(cover!E12))</f>
        <v>MANOLETE PARTNERS PLC - 24/3/2023</v>
      </c>
      <c r="E2" s="13"/>
    </row>
    <row r="3" spans="1:9" ht="15" thickTop="1" x14ac:dyDescent="0.3">
      <c r="B3" s="25" t="str">
        <f>IF(checks!E10&lt;&gt;0,"**ERROR**","")</f>
        <v/>
      </c>
    </row>
    <row r="4" spans="1:9" s="3" customFormat="1" x14ac:dyDescent="0.3">
      <c r="A4" s="5"/>
      <c r="B4" s="2" t="s">
        <v>91</v>
      </c>
      <c r="E4" s="4"/>
    </row>
    <row r="6" spans="1:9" x14ac:dyDescent="0.3">
      <c r="B6" s="2" t="s">
        <v>152</v>
      </c>
      <c r="C6" s="3"/>
      <c r="D6" s="3"/>
      <c r="E6" s="4"/>
      <c r="F6" s="4"/>
      <c r="G6" s="4"/>
      <c r="H6" s="4"/>
      <c r="I6" s="4"/>
    </row>
    <row r="8" spans="1:9" x14ac:dyDescent="0.3">
      <c r="B8" s="2" t="s">
        <v>125</v>
      </c>
      <c r="C8" s="3"/>
      <c r="D8" s="3"/>
      <c r="E8" s="4"/>
      <c r="G8" s="2" t="s">
        <v>91</v>
      </c>
      <c r="H8" s="2"/>
      <c r="I8" s="5"/>
    </row>
    <row r="10" spans="1:9" x14ac:dyDescent="0.3">
      <c r="B10" s="1" t="s">
        <v>104</v>
      </c>
      <c r="E10" s="84">
        <v>3.7650000000000003E-2</v>
      </c>
      <c r="G10" s="1" t="s">
        <v>92</v>
      </c>
      <c r="I10" s="36">
        <f>E14</f>
        <v>0.7</v>
      </c>
    </row>
    <row r="11" spans="1:9" x14ac:dyDescent="0.3">
      <c r="B11" s="1" t="s">
        <v>105</v>
      </c>
      <c r="E11" s="84">
        <v>6.9699999999999998E-2</v>
      </c>
      <c r="F11" s="43"/>
      <c r="G11" s="1" t="s">
        <v>93</v>
      </c>
      <c r="I11" s="34">
        <f>(INDEX('detailed-financials'!$E$26:$R$26,MATCH(cover!$E$13,'detailed-financials'!$E$6:$R$6,0))-INDEX('detailed-financials'!$E$12:$R$12,MATCH(cover!$E$13,'detailed-financials'!$E$6:$R$6,0)))/summary!$D$14</f>
        <v>8.231818576766009E-2</v>
      </c>
    </row>
    <row r="12" spans="1:9" x14ac:dyDescent="0.3">
      <c r="B12" s="1" t="s">
        <v>106</v>
      </c>
      <c r="E12" s="84">
        <v>6.83E-2</v>
      </c>
      <c r="G12" s="1" t="s">
        <v>94</v>
      </c>
      <c r="I12" s="37">
        <f>$E$13</f>
        <v>0.25</v>
      </c>
    </row>
    <row r="13" spans="1:9" x14ac:dyDescent="0.3">
      <c r="B13" s="1" t="s">
        <v>126</v>
      </c>
      <c r="E13" s="84">
        <v>0.25</v>
      </c>
      <c r="G13" s="1" t="s">
        <v>95</v>
      </c>
      <c r="I13" s="33">
        <f>I10*(1+(1-I12)*(I11))</f>
        <v>0.74321704752802153</v>
      </c>
    </row>
    <row r="14" spans="1:9" x14ac:dyDescent="0.3">
      <c r="B14" s="1" t="s">
        <v>127</v>
      </c>
      <c r="E14" s="85">
        <v>0.7</v>
      </c>
    </row>
    <row r="15" spans="1:9" x14ac:dyDescent="0.3">
      <c r="B15" s="1" t="s">
        <v>128</v>
      </c>
      <c r="E15" s="84">
        <v>0</v>
      </c>
      <c r="G15" s="1" t="s">
        <v>96</v>
      </c>
      <c r="I15" s="37">
        <f>WACC!$E$10</f>
        <v>3.7650000000000003E-2</v>
      </c>
    </row>
    <row r="16" spans="1:9" x14ac:dyDescent="0.3">
      <c r="E16" s="1"/>
      <c r="G16" s="1" t="s">
        <v>97</v>
      </c>
      <c r="I16" s="37">
        <f>WACC!$E$11</f>
        <v>6.9699999999999998E-2</v>
      </c>
    </row>
    <row r="17" spans="5:9" x14ac:dyDescent="0.3">
      <c r="E17" s="1"/>
      <c r="G17" s="1" t="s">
        <v>98</v>
      </c>
      <c r="I17" s="42">
        <f>$E$15</f>
        <v>0</v>
      </c>
    </row>
    <row r="18" spans="5:9" x14ac:dyDescent="0.3">
      <c r="E18" s="1"/>
      <c r="G18" s="1" t="s">
        <v>99</v>
      </c>
      <c r="I18" s="34">
        <f>I16*I13+I15+I17</f>
        <v>8.94522282127031E-2</v>
      </c>
    </row>
    <row r="19" spans="5:9" x14ac:dyDescent="0.3">
      <c r="E19" s="1"/>
      <c r="G19" s="1" t="s">
        <v>100</v>
      </c>
      <c r="I19" s="77">
        <f>I18</f>
        <v>8.94522282127031E-2</v>
      </c>
    </row>
    <row r="20" spans="5:9" x14ac:dyDescent="0.3">
      <c r="E20" s="1"/>
      <c r="I20" s="35"/>
    </row>
    <row r="21" spans="5:9" x14ac:dyDescent="0.3">
      <c r="E21" s="1"/>
      <c r="G21" s="1" t="s">
        <v>101</v>
      </c>
      <c r="I21" s="37">
        <f>WACC!$E$12</f>
        <v>6.83E-2</v>
      </c>
    </row>
    <row r="22" spans="5:9" x14ac:dyDescent="0.3">
      <c r="G22" s="1" t="s">
        <v>102</v>
      </c>
      <c r="I22" s="34">
        <f>I21*(1-I12)</f>
        <v>5.1225E-2</v>
      </c>
    </row>
    <row r="23" spans="5:9" x14ac:dyDescent="0.3">
      <c r="I23" s="35"/>
    </row>
    <row r="24" spans="5:9" x14ac:dyDescent="0.3">
      <c r="G24" s="1" t="s">
        <v>91</v>
      </c>
      <c r="I24" s="34">
        <f>(I11/(1+I11))*I22+((1-I11/(1+I11))*I19)</f>
        <v>8.6544768913971934E-2</v>
      </c>
    </row>
    <row r="25" spans="5:9" x14ac:dyDescent="0.3">
      <c r="G25" s="1" t="s">
        <v>103</v>
      </c>
      <c r="I25" s="77">
        <f>I24</f>
        <v>8.6544768913971934E-2</v>
      </c>
    </row>
  </sheetData>
  <sheetProtection algorithmName="SHA-512" hashValue="p03TkP5yC141dScrbqbKFqOUOAjZ9DzR0WrBopemcmnuISID4GGG5vco7OEVAgMxOSPunyq+PEtoPa9EkwVF+w==" saltValue="viEgUGJIgNE0SMkchgS2yg==" spinCount="100000" sheet="1" formatCells="0" formatColumns="0" formatRows="0" insertColumns="0" insertRows="0" insertHyperlinks="0" deleteColumns="0" deleteRows="0" selectLockedCells="1" sort="0" autoFilter="0" pivotTables="0"/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4A531-A092-4387-AB46-45A4AD3DAB9E}">
  <dimension ref="A1:W104"/>
  <sheetViews>
    <sheetView workbookViewId="0">
      <pane xSplit="4" ySplit="7" topLeftCell="E37" activePane="bottomRight" state="frozen"/>
      <selection pane="topRight" activeCell="E1" sqref="E1"/>
      <selection pane="bottomLeft" activeCell="A9" sqref="A9"/>
      <selection pane="bottomRight"/>
    </sheetView>
  </sheetViews>
  <sheetFormatPr defaultColWidth="9.109375" defaultRowHeight="14.4" x14ac:dyDescent="0.3"/>
  <cols>
    <col min="1" max="1" width="2.6640625" style="1" customWidth="1"/>
    <col min="2" max="4" width="12.6640625" style="1" customWidth="1"/>
    <col min="5" max="6" width="12.6640625" style="8" customWidth="1"/>
    <col min="7" max="51" width="12.6640625" style="1" customWidth="1"/>
    <col min="52" max="16384" width="9.109375" style="1"/>
  </cols>
  <sheetData>
    <row r="1" spans="1:18" ht="33.6" x14ac:dyDescent="0.65">
      <c r="B1" s="86" t="s">
        <v>174</v>
      </c>
    </row>
    <row r="2" spans="1:18" s="15" customFormat="1" ht="15" thickBot="1" x14ac:dyDescent="0.35">
      <c r="A2" s="13"/>
      <c r="B2" s="14" t="str">
        <f>UPPER(cover!E8&amp;" - "&amp;DAY(cover!E12)&amp;"/"&amp;MONTH(cover!E12)&amp;"/"&amp;YEAR(cover!E12))</f>
        <v>MANOLETE PARTNERS PLC - 24/3/2023</v>
      </c>
      <c r="E2" s="13"/>
      <c r="F2" s="13"/>
    </row>
    <row r="3" spans="1:18" ht="15" thickTop="1" x14ac:dyDescent="0.3">
      <c r="B3" s="25" t="str">
        <f>IF(checks!E10&lt;&gt;0,"**ERROR**","")</f>
        <v/>
      </c>
    </row>
    <row r="4" spans="1:18" s="3" customFormat="1" x14ac:dyDescent="0.3">
      <c r="A4" s="5"/>
      <c r="B4" s="2" t="s">
        <v>14</v>
      </c>
      <c r="D4" s="5" t="str">
        <f>cover!$E$10</f>
        <v>£000</v>
      </c>
      <c r="E4" s="4"/>
      <c r="F4" s="4"/>
    </row>
    <row r="6" spans="1:18" x14ac:dyDescent="0.3">
      <c r="B6" s="1" t="s">
        <v>16</v>
      </c>
      <c r="E6" s="16">
        <v>42825</v>
      </c>
      <c r="F6" s="16">
        <f>EOMONTH(E6,12)</f>
        <v>43190</v>
      </c>
      <c r="G6" s="16">
        <f>EOMONTH(F6,12)</f>
        <v>43555</v>
      </c>
      <c r="H6" s="16">
        <f>EOMONTH(G6,12)</f>
        <v>43921</v>
      </c>
      <c r="I6" s="16">
        <f>EOMONTH(H6,12)</f>
        <v>44286</v>
      </c>
      <c r="J6" s="16">
        <f>EOMONTH(I6,12)</f>
        <v>44651</v>
      </c>
      <c r="K6" s="16">
        <f>EOMONTH(J6,6)</f>
        <v>44834</v>
      </c>
      <c r="L6" s="16">
        <f>EOMONTH(K6,6)</f>
        <v>45016</v>
      </c>
      <c r="M6" s="16">
        <f>EOMONTH(L6,12)</f>
        <v>45382</v>
      </c>
      <c r="N6" s="16">
        <f t="shared" ref="N6:R6" si="0">EOMONTH(M6,12)</f>
        <v>45747</v>
      </c>
      <c r="O6" s="16">
        <f t="shared" si="0"/>
        <v>46112</v>
      </c>
      <c r="P6" s="16">
        <f t="shared" si="0"/>
        <v>46477</v>
      </c>
      <c r="Q6" s="16">
        <f t="shared" si="0"/>
        <v>46843</v>
      </c>
      <c r="R6" s="16">
        <f t="shared" si="0"/>
        <v>47208</v>
      </c>
    </row>
    <row r="7" spans="1:18" x14ac:dyDescent="0.3">
      <c r="B7" s="1" t="s">
        <v>55</v>
      </c>
      <c r="E7" s="1">
        <v>12</v>
      </c>
      <c r="F7" s="1">
        <f t="shared" ref="F7" si="1">YEAR(F6)*12+MONTH(F6)-YEAR(E6)*12-MONTH(E6)</f>
        <v>12</v>
      </c>
      <c r="G7" s="1">
        <f t="shared" ref="G7" si="2">YEAR(G6)*12+MONTH(G6)-YEAR(F6)*12-MONTH(F6)</f>
        <v>12</v>
      </c>
      <c r="H7" s="1">
        <f t="shared" ref="H7" si="3">YEAR(H6)*12+MONTH(H6)-YEAR(G6)*12-MONTH(G6)</f>
        <v>12</v>
      </c>
      <c r="I7" s="1">
        <f t="shared" ref="I7" si="4">YEAR(I6)*12+MONTH(I6)-YEAR(H6)*12-MONTH(H6)</f>
        <v>12</v>
      </c>
      <c r="J7" s="1">
        <f t="shared" ref="J7" si="5">YEAR(J6)*12+MONTH(J6)-YEAR(I6)*12-MONTH(I6)</f>
        <v>12</v>
      </c>
      <c r="K7" s="1">
        <f t="shared" ref="K7" si="6">YEAR(K6)*12+MONTH(K6)-YEAR(J6)*12-MONTH(J6)</f>
        <v>6</v>
      </c>
      <c r="L7" s="1">
        <f t="shared" ref="L7" si="7">YEAR(L6)*12+MONTH(L6)-YEAR(K6)*12-MONTH(K6)</f>
        <v>6</v>
      </c>
      <c r="M7" s="1">
        <f t="shared" ref="M7" si="8">YEAR(M6)*12+MONTH(M6)-YEAR(L6)*12-MONTH(L6)</f>
        <v>12</v>
      </c>
      <c r="N7" s="1">
        <f t="shared" ref="N7" si="9">YEAR(N6)*12+MONTH(N6)-YEAR(M6)*12-MONTH(M6)</f>
        <v>12</v>
      </c>
      <c r="O7" s="1">
        <f t="shared" ref="O7" si="10">YEAR(O6)*12+MONTH(O6)-YEAR(N6)*12-MONTH(N6)</f>
        <v>12</v>
      </c>
      <c r="P7" s="1">
        <f t="shared" ref="P7" si="11">YEAR(P6)*12+MONTH(P6)-YEAR(O6)*12-MONTH(O6)</f>
        <v>12</v>
      </c>
      <c r="Q7" s="1">
        <f t="shared" ref="Q7" si="12">YEAR(Q6)*12+MONTH(Q6)-YEAR(P6)*12-MONTH(P6)</f>
        <v>12</v>
      </c>
      <c r="R7" s="1">
        <f t="shared" ref="R7" si="13">YEAR(R6)*12+MONTH(R6)-YEAR(Q6)*12-MONTH(Q6)</f>
        <v>12</v>
      </c>
    </row>
    <row r="10" spans="1:18" x14ac:dyDescent="0.3">
      <c r="B10" s="2" t="s">
        <v>44</v>
      </c>
      <c r="C10" s="3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5"/>
      <c r="P10" s="5"/>
      <c r="Q10" s="5"/>
      <c r="R10" s="5"/>
    </row>
    <row r="12" spans="1:18" x14ac:dyDescent="0.3">
      <c r="B12" s="1" t="s">
        <v>15</v>
      </c>
      <c r="E12" s="71">
        <v>1500.3389999999999</v>
      </c>
      <c r="F12" s="71">
        <v>5934.4179999999997</v>
      </c>
      <c r="G12" s="71">
        <v>9692</v>
      </c>
      <c r="H12" s="71">
        <v>8371</v>
      </c>
      <c r="I12" s="71">
        <v>1144</v>
      </c>
      <c r="J12" s="71">
        <v>2256</v>
      </c>
      <c r="K12" s="71">
        <v>359</v>
      </c>
      <c r="L12" s="24">
        <f>L101</f>
        <v>6919.6665583828344</v>
      </c>
      <c r="M12" s="24">
        <f>M101</f>
        <v>9210.0522462136723</v>
      </c>
      <c r="N12" s="24">
        <f>N101</f>
        <v>12861.033674022725</v>
      </c>
      <c r="O12" s="24">
        <f>O101</f>
        <v>22794.661649399277</v>
      </c>
      <c r="P12" s="24">
        <f t="shared" ref="P12:R12" si="14">P101</f>
        <v>29996.887874463617</v>
      </c>
      <c r="Q12" s="24">
        <f t="shared" si="14"/>
        <v>34441.129020962901</v>
      </c>
      <c r="R12" s="24">
        <f t="shared" si="14"/>
        <v>40702.805698884069</v>
      </c>
    </row>
    <row r="13" spans="1:18" x14ac:dyDescent="0.3">
      <c r="B13" s="1" t="s">
        <v>180</v>
      </c>
      <c r="E13" s="71">
        <v>6704.9669999999996</v>
      </c>
      <c r="F13" s="71">
        <v>10554.544</v>
      </c>
      <c r="G13" s="71">
        <f>5100+13097</f>
        <v>18197</v>
      </c>
      <c r="H13" s="71">
        <f>7136+25279</f>
        <v>32415</v>
      </c>
      <c r="I13" s="71">
        <f>7136+30372</f>
        <v>37508</v>
      </c>
      <c r="J13" s="71">
        <f>12198+33520</f>
        <v>45718</v>
      </c>
      <c r="K13" s="71">
        <f>22964+13198</f>
        <v>36162</v>
      </c>
      <c r="L13" s="24">
        <f t="shared" ref="L13:R13" si="15">K13-L83-L84</f>
        <v>37927</v>
      </c>
      <c r="M13" s="24">
        <f t="shared" si="15"/>
        <v>40124</v>
      </c>
      <c r="N13" s="24">
        <f t="shared" si="15"/>
        <v>42124</v>
      </c>
      <c r="O13" s="24">
        <f t="shared" si="15"/>
        <v>40124</v>
      </c>
      <c r="P13" s="24">
        <f t="shared" si="15"/>
        <v>40324</v>
      </c>
      <c r="Q13" s="24">
        <f t="shared" si="15"/>
        <v>40528</v>
      </c>
      <c r="R13" s="24">
        <f t="shared" si="15"/>
        <v>40736.080000000002</v>
      </c>
    </row>
    <row r="14" spans="1:18" x14ac:dyDescent="0.3">
      <c r="B14" s="1" t="s">
        <v>17</v>
      </c>
      <c r="E14" s="71">
        <v>1583.008</v>
      </c>
      <c r="F14" s="71">
        <v>2973.2739999999999</v>
      </c>
      <c r="G14" s="71">
        <v>3777</v>
      </c>
      <c r="H14" s="71">
        <f>443+5454</f>
        <v>5897</v>
      </c>
      <c r="I14" s="71">
        <f>10660+7688</f>
        <v>18348</v>
      </c>
      <c r="J14" s="71">
        <f>11086+9189</f>
        <v>20275</v>
      </c>
      <c r="K14" s="71">
        <f>11310+11008</f>
        <v>22318</v>
      </c>
      <c r="L14" s="24">
        <f>L44*summary!L33/365*12/L7</f>
        <v>21535.719292667425</v>
      </c>
      <c r="M14" s="24">
        <f>M44*summary!M33/365*12/M7</f>
        <v>27830.940318099358</v>
      </c>
      <c r="N14" s="24">
        <f>N44*summary!N33/365</f>
        <v>39233.672113173518</v>
      </c>
      <c r="O14" s="24">
        <f>O44*summary!O33/365</f>
        <v>39233.672113173518</v>
      </c>
      <c r="P14" s="24">
        <f>P44*summary!P33/365</f>
        <v>36023.644394822957</v>
      </c>
      <c r="Q14" s="24">
        <f>Q44*summary!Q33/365</f>
        <v>36744.11728271941</v>
      </c>
      <c r="R14" s="24">
        <f>R44*summary!R33/365</f>
        <v>37478.999628373807</v>
      </c>
    </row>
    <row r="15" spans="1:18" x14ac:dyDescent="0.3">
      <c r="B15" s="1" t="s">
        <v>18</v>
      </c>
      <c r="E15" s="71">
        <v>221.405</v>
      </c>
      <c r="F15" s="71">
        <v>0</v>
      </c>
      <c r="G15" s="71"/>
      <c r="H15" s="71"/>
      <c r="I15" s="71"/>
      <c r="J15" s="71"/>
      <c r="K15" s="71">
        <v>979</v>
      </c>
      <c r="L15" s="24">
        <f t="shared" ref="L15:M17" si="16">K15</f>
        <v>979</v>
      </c>
      <c r="M15" s="24">
        <f t="shared" si="16"/>
        <v>979</v>
      </c>
      <c r="N15" s="24">
        <f t="shared" ref="N15:R15" si="17">M15</f>
        <v>979</v>
      </c>
      <c r="O15" s="24">
        <f t="shared" si="17"/>
        <v>979</v>
      </c>
      <c r="P15" s="24">
        <f t="shared" si="17"/>
        <v>979</v>
      </c>
      <c r="Q15" s="24">
        <f t="shared" si="17"/>
        <v>979</v>
      </c>
      <c r="R15" s="24">
        <f t="shared" si="17"/>
        <v>979</v>
      </c>
    </row>
    <row r="16" spans="1:18" x14ac:dyDescent="0.3">
      <c r="B16" s="1" t="s">
        <v>20</v>
      </c>
      <c r="E16" s="71"/>
      <c r="F16" s="71"/>
      <c r="G16" s="71">
        <v>46</v>
      </c>
      <c r="H16" s="71">
        <v>157</v>
      </c>
      <c r="I16" s="71">
        <v>121</v>
      </c>
      <c r="J16" s="71">
        <v>95</v>
      </c>
      <c r="K16" s="71">
        <v>104</v>
      </c>
      <c r="L16" s="24">
        <f t="shared" si="16"/>
        <v>104</v>
      </c>
      <c r="M16" s="24">
        <f t="shared" si="16"/>
        <v>104</v>
      </c>
      <c r="N16" s="24">
        <f t="shared" ref="N16:R16" si="18">M16</f>
        <v>104</v>
      </c>
      <c r="O16" s="24">
        <f t="shared" si="18"/>
        <v>104</v>
      </c>
      <c r="P16" s="24">
        <f t="shared" si="18"/>
        <v>104</v>
      </c>
      <c r="Q16" s="24">
        <f t="shared" si="18"/>
        <v>104</v>
      </c>
      <c r="R16" s="24">
        <f t="shared" si="18"/>
        <v>104</v>
      </c>
    </row>
    <row r="17" spans="2:18" x14ac:dyDescent="0.3">
      <c r="B17" s="1" t="s">
        <v>19</v>
      </c>
      <c r="E17" s="71"/>
      <c r="F17" s="71"/>
      <c r="G17" s="71">
        <v>447</v>
      </c>
      <c r="H17" s="71">
        <v>0</v>
      </c>
      <c r="I17" s="71"/>
      <c r="J17" s="71"/>
      <c r="K17" s="71"/>
      <c r="L17" s="24">
        <f t="shared" si="16"/>
        <v>0</v>
      </c>
      <c r="M17" s="24">
        <f t="shared" si="16"/>
        <v>0</v>
      </c>
      <c r="N17" s="24">
        <f t="shared" ref="N17:R17" si="19">M17</f>
        <v>0</v>
      </c>
      <c r="O17" s="24">
        <f t="shared" si="19"/>
        <v>0</v>
      </c>
      <c r="P17" s="24">
        <f t="shared" si="19"/>
        <v>0</v>
      </c>
      <c r="Q17" s="24">
        <f t="shared" si="19"/>
        <v>0</v>
      </c>
      <c r="R17" s="24">
        <f t="shared" si="19"/>
        <v>0</v>
      </c>
    </row>
    <row r="18" spans="2:18" x14ac:dyDescent="0.3">
      <c r="B18" s="1" t="s">
        <v>148</v>
      </c>
      <c r="E18" s="71"/>
      <c r="F18" s="71"/>
      <c r="G18" s="71">
        <f>6</f>
        <v>6</v>
      </c>
      <c r="H18" s="71">
        <f>56+221</f>
        <v>277</v>
      </c>
      <c r="I18" s="71">
        <f>35+257</f>
        <v>292</v>
      </c>
      <c r="J18" s="71">
        <f>13+86</f>
        <v>99</v>
      </c>
      <c r="K18" s="71">
        <f>2</f>
        <v>2</v>
      </c>
      <c r="L18" s="24">
        <f>K18-L81+L82+L51</f>
        <v>1.6</v>
      </c>
      <c r="M18" s="24">
        <f t="shared" ref="M18:R18" si="20">L18-M81+M82+M51</f>
        <v>1.28</v>
      </c>
      <c r="N18" s="24">
        <f t="shared" si="20"/>
        <v>1.024</v>
      </c>
      <c r="O18" s="24">
        <f t="shared" si="20"/>
        <v>0.81920000000000004</v>
      </c>
      <c r="P18" s="24">
        <f t="shared" si="20"/>
        <v>0.65536000000000005</v>
      </c>
      <c r="Q18" s="24">
        <f t="shared" si="20"/>
        <v>0.52428800000000009</v>
      </c>
      <c r="R18" s="24">
        <f t="shared" si="20"/>
        <v>0.41943040000000009</v>
      </c>
    </row>
    <row r="19" spans="2:18" x14ac:dyDescent="0.3">
      <c r="B19" s="1" t="s">
        <v>22</v>
      </c>
      <c r="E19" s="71"/>
      <c r="F19" s="71"/>
      <c r="G19" s="71"/>
      <c r="H19" s="71"/>
      <c r="I19" s="71"/>
      <c r="J19" s="71"/>
      <c r="K19" s="71"/>
      <c r="L19" s="24">
        <f>K19</f>
        <v>0</v>
      </c>
      <c r="M19" s="24">
        <f>L19</f>
        <v>0</v>
      </c>
      <c r="N19" s="24">
        <f t="shared" ref="N19:R19" si="21">M19</f>
        <v>0</v>
      </c>
      <c r="O19" s="24">
        <f t="shared" si="21"/>
        <v>0</v>
      </c>
      <c r="P19" s="24">
        <f t="shared" si="21"/>
        <v>0</v>
      </c>
      <c r="Q19" s="24">
        <f t="shared" si="21"/>
        <v>0</v>
      </c>
      <c r="R19" s="24">
        <f t="shared" si="21"/>
        <v>0</v>
      </c>
    </row>
    <row r="20" spans="2:18" ht="15" thickBot="1" x14ac:dyDescent="0.35">
      <c r="B20" s="17" t="s">
        <v>21</v>
      </c>
      <c r="C20" s="17"/>
      <c r="D20" s="17"/>
      <c r="E20" s="72">
        <f t="shared" ref="E20:R20" si="22">SUM(E12:E19)</f>
        <v>10009.719000000001</v>
      </c>
      <c r="F20" s="72">
        <f t="shared" si="22"/>
        <v>19462.236000000001</v>
      </c>
      <c r="G20" s="72">
        <f t="shared" si="22"/>
        <v>32165</v>
      </c>
      <c r="H20" s="72">
        <f t="shared" si="22"/>
        <v>47117</v>
      </c>
      <c r="I20" s="72">
        <f t="shared" si="22"/>
        <v>57413</v>
      </c>
      <c r="J20" s="72">
        <f t="shared" si="22"/>
        <v>68443</v>
      </c>
      <c r="K20" s="72">
        <f t="shared" si="22"/>
        <v>59924</v>
      </c>
      <c r="L20" s="26">
        <f t="shared" si="22"/>
        <v>67466.985851050267</v>
      </c>
      <c r="M20" s="26">
        <f t="shared" si="22"/>
        <v>78249.272564313025</v>
      </c>
      <c r="N20" s="26">
        <f t="shared" si="22"/>
        <v>95302.729787196236</v>
      </c>
      <c r="O20" s="26">
        <f t="shared" si="22"/>
        <v>103236.15296257279</v>
      </c>
      <c r="P20" s="26">
        <f t="shared" si="22"/>
        <v>107428.18762928658</v>
      </c>
      <c r="Q20" s="26">
        <f t="shared" si="22"/>
        <v>112796.7705916823</v>
      </c>
      <c r="R20" s="26">
        <f t="shared" si="22"/>
        <v>120001.30475765788</v>
      </c>
    </row>
    <row r="21" spans="2:18" ht="15" thickTop="1" x14ac:dyDescent="0.3">
      <c r="E21" s="71"/>
      <c r="F21" s="71"/>
      <c r="G21" s="71"/>
      <c r="H21" s="71"/>
      <c r="I21" s="71"/>
      <c r="J21" s="71"/>
      <c r="K21" s="71"/>
      <c r="L21" s="24"/>
      <c r="M21" s="24"/>
      <c r="N21" s="24"/>
      <c r="O21" s="24"/>
      <c r="P21" s="24"/>
      <c r="Q21" s="24"/>
      <c r="R21" s="24"/>
    </row>
    <row r="22" spans="2:18" x14ac:dyDescent="0.3">
      <c r="B22" s="1" t="s">
        <v>25</v>
      </c>
      <c r="E22" s="71">
        <v>2340.3850000000002</v>
      </c>
      <c r="F22" s="71">
        <v>2830.22</v>
      </c>
      <c r="G22" s="71">
        <v>4150</v>
      </c>
      <c r="H22" s="71">
        <f>4235+213</f>
        <v>4448</v>
      </c>
      <c r="I22" s="71">
        <f>6602+3565</f>
        <v>10167</v>
      </c>
      <c r="J22" s="71">
        <f>6853+5594</f>
        <v>12447</v>
      </c>
      <c r="K22" s="71">
        <f>6624+5618</f>
        <v>12242</v>
      </c>
      <c r="L22" s="24">
        <f>-L46*summary!L34/365*12/L7</f>
        <v>12913.590162298466</v>
      </c>
      <c r="M22" s="24">
        <f>-M46*summary!M34/365*12/M7</f>
        <v>16688.43061219194</v>
      </c>
      <c r="N22" s="24">
        <f>-N46*summary!N34/365*12/N7</f>
        <v>23525.917818032987</v>
      </c>
      <c r="O22" s="24">
        <f>-O46*summary!O34/365*12/O7</f>
        <v>23525.917818032987</v>
      </c>
      <c r="P22" s="24">
        <f>-P46*summary!P34/365*12/P7</f>
        <v>21601.069996557559</v>
      </c>
      <c r="Q22" s="24">
        <f>-Q46*summary!Q34/365*12/Q7</f>
        <v>22033.091396488704</v>
      </c>
      <c r="R22" s="24">
        <f>-R46*summary!R34/365*12/R7</f>
        <v>22473.753224418484</v>
      </c>
    </row>
    <row r="23" spans="2:18" x14ac:dyDescent="0.3">
      <c r="B23" s="1" t="s">
        <v>26</v>
      </c>
      <c r="E23" s="71"/>
      <c r="F23" s="71"/>
      <c r="G23" s="71"/>
      <c r="H23" s="71"/>
      <c r="I23" s="71"/>
      <c r="J23" s="71"/>
      <c r="K23" s="71"/>
      <c r="L23" s="24">
        <f t="shared" ref="L23:M25" si="23">K23</f>
        <v>0</v>
      </c>
      <c r="M23" s="24">
        <f t="shared" si="23"/>
        <v>0</v>
      </c>
      <c r="N23" s="24">
        <f t="shared" ref="N23:R23" si="24">M23</f>
        <v>0</v>
      </c>
      <c r="O23" s="24">
        <f t="shared" si="24"/>
        <v>0</v>
      </c>
      <c r="P23" s="24">
        <f t="shared" si="24"/>
        <v>0</v>
      </c>
      <c r="Q23" s="24">
        <f t="shared" si="24"/>
        <v>0</v>
      </c>
      <c r="R23" s="24">
        <f t="shared" si="24"/>
        <v>0</v>
      </c>
    </row>
    <row r="24" spans="2:18" x14ac:dyDescent="0.3">
      <c r="B24" s="1" t="s">
        <v>27</v>
      </c>
      <c r="E24" s="71"/>
      <c r="F24" s="71"/>
      <c r="G24" s="71"/>
      <c r="H24" s="71"/>
      <c r="I24" s="71">
        <v>335</v>
      </c>
      <c r="J24" s="71">
        <v>396</v>
      </c>
      <c r="K24" s="71"/>
      <c r="L24" s="24">
        <f t="shared" si="23"/>
        <v>0</v>
      </c>
      <c r="M24" s="24">
        <f t="shared" si="23"/>
        <v>0</v>
      </c>
      <c r="N24" s="24">
        <f t="shared" ref="N24:R24" si="25">M24</f>
        <v>0</v>
      </c>
      <c r="O24" s="24">
        <f t="shared" si="25"/>
        <v>0</v>
      </c>
      <c r="P24" s="24">
        <f t="shared" si="25"/>
        <v>0</v>
      </c>
      <c r="Q24" s="24">
        <f t="shared" si="25"/>
        <v>0</v>
      </c>
      <c r="R24" s="24">
        <f t="shared" si="25"/>
        <v>0</v>
      </c>
    </row>
    <row r="25" spans="2:18" x14ac:dyDescent="0.3">
      <c r="B25" s="1" t="s">
        <v>28</v>
      </c>
      <c r="E25" s="71">
        <v>125</v>
      </c>
      <c r="F25" s="71">
        <v>5</v>
      </c>
      <c r="G25" s="71"/>
      <c r="H25" s="71"/>
      <c r="I25" s="71"/>
      <c r="J25" s="71"/>
      <c r="K25" s="71"/>
      <c r="L25" s="24">
        <f t="shared" si="23"/>
        <v>0</v>
      </c>
      <c r="M25" s="24">
        <f t="shared" si="23"/>
        <v>0</v>
      </c>
      <c r="N25" s="24">
        <f t="shared" ref="N25:R25" si="26">M25</f>
        <v>0</v>
      </c>
      <c r="O25" s="24">
        <f t="shared" si="26"/>
        <v>0</v>
      </c>
      <c r="P25" s="24">
        <f t="shared" si="26"/>
        <v>0</v>
      </c>
      <c r="Q25" s="24">
        <f t="shared" si="26"/>
        <v>0</v>
      </c>
      <c r="R25" s="24">
        <f t="shared" si="26"/>
        <v>0</v>
      </c>
    </row>
    <row r="26" spans="2:18" x14ac:dyDescent="0.3">
      <c r="B26" s="1" t="s">
        <v>24</v>
      </c>
      <c r="E26" s="71">
        <f>800+2250</f>
        <v>3050</v>
      </c>
      <c r="F26" s="71">
        <v>8870.5879999999997</v>
      </c>
      <c r="G26" s="71">
        <v>0</v>
      </c>
      <c r="H26" s="71">
        <f>221+7526</f>
        <v>7747</v>
      </c>
      <c r="I26" s="71">
        <f>189+7698+96</f>
        <v>7983</v>
      </c>
      <c r="J26" s="71">
        <f>96+13285</f>
        <v>13381</v>
      </c>
      <c r="K26" s="71">
        <v>9833</v>
      </c>
      <c r="L26" s="24">
        <f>-summary!L35*SUM(I83:L83)*3</f>
        <v>15168.517600036199</v>
      </c>
      <c r="M26" s="24">
        <f>-summary!M35*SUM(J83:M83)*3</f>
        <v>18263.166056829301</v>
      </c>
      <c r="N26" s="24">
        <f>-summary!N35*SUM(K83:N83)*3</f>
        <v>22423.974704061449</v>
      </c>
      <c r="O26" s="24">
        <f>-summary!O35*SUM(M83:O83)*3</f>
        <v>24077.012063549522</v>
      </c>
      <c r="P26" s="24">
        <f>-summary!P35*SUM(N83:P83)*3</f>
        <v>24227.493388946707</v>
      </c>
      <c r="Q26" s="24">
        <f>-summary!Q35*SUM(O83:Q83)*3</f>
        <v>23026.652412277173</v>
      </c>
      <c r="R26" s="24">
        <f>-summary!R35*SUM(P83:R83)*3</f>
        <v>23487.18546052272</v>
      </c>
    </row>
    <row r="27" spans="2:18" x14ac:dyDescent="0.3">
      <c r="B27" s="1" t="s">
        <v>41</v>
      </c>
      <c r="E27" s="71"/>
      <c r="F27" s="71"/>
      <c r="G27" s="71"/>
      <c r="H27" s="71"/>
      <c r="I27" s="71"/>
      <c r="J27" s="71"/>
      <c r="K27" s="71"/>
      <c r="L27" s="24">
        <f>K27</f>
        <v>0</v>
      </c>
      <c r="M27" s="24">
        <f>L27</f>
        <v>0</v>
      </c>
      <c r="N27" s="24">
        <f t="shared" ref="N27:R27" si="27">M27</f>
        <v>0</v>
      </c>
      <c r="O27" s="24">
        <f t="shared" si="27"/>
        <v>0</v>
      </c>
      <c r="P27" s="24">
        <f t="shared" si="27"/>
        <v>0</v>
      </c>
      <c r="Q27" s="24">
        <f t="shared" si="27"/>
        <v>0</v>
      </c>
      <c r="R27" s="24">
        <f t="shared" si="27"/>
        <v>0</v>
      </c>
    </row>
    <row r="28" spans="2:18" ht="15" thickBot="1" x14ac:dyDescent="0.35">
      <c r="B28" s="17" t="s">
        <v>23</v>
      </c>
      <c r="C28" s="17"/>
      <c r="D28" s="17"/>
      <c r="E28" s="72">
        <f>SUM(E22:E27)</f>
        <v>5515.3850000000002</v>
      </c>
      <c r="F28" s="72">
        <f>SUM(F22:F27)</f>
        <v>11705.807999999999</v>
      </c>
      <c r="G28" s="72">
        <f>SUM(G22:G27)</f>
        <v>4150</v>
      </c>
      <c r="H28" s="72">
        <f t="shared" ref="H28:I28" si="28">SUM(H22:H27)</f>
        <v>12195</v>
      </c>
      <c r="I28" s="72">
        <f t="shared" si="28"/>
        <v>18485</v>
      </c>
      <c r="J28" s="72">
        <f t="shared" ref="J28:O28" si="29">SUM(J22:J27)</f>
        <v>26224</v>
      </c>
      <c r="K28" s="72">
        <f t="shared" si="29"/>
        <v>22075</v>
      </c>
      <c r="L28" s="26">
        <f t="shared" ref="L28" si="30">SUM(L22:L27)</f>
        <v>28082.107762334665</v>
      </c>
      <c r="M28" s="26">
        <f t="shared" si="29"/>
        <v>34951.596669021237</v>
      </c>
      <c r="N28" s="26">
        <f t="shared" si="29"/>
        <v>45949.892522094437</v>
      </c>
      <c r="O28" s="26">
        <f t="shared" si="29"/>
        <v>47602.92988158251</v>
      </c>
      <c r="P28" s="26">
        <f t="shared" ref="P28" si="31">SUM(P22:P27)</f>
        <v>45828.563385504269</v>
      </c>
      <c r="Q28" s="26">
        <f t="shared" ref="Q28" si="32">SUM(Q22:Q27)</f>
        <v>45059.743808765881</v>
      </c>
      <c r="R28" s="26">
        <f t="shared" ref="R28" si="33">SUM(R22:R27)</f>
        <v>45960.938684941204</v>
      </c>
    </row>
    <row r="29" spans="2:18" ht="15" thickTop="1" x14ac:dyDescent="0.3">
      <c r="E29" s="71"/>
      <c r="F29" s="71"/>
      <c r="G29" s="71"/>
      <c r="H29" s="71"/>
      <c r="I29" s="71"/>
      <c r="J29" s="71"/>
      <c r="K29" s="71"/>
      <c r="L29" s="24"/>
      <c r="M29" s="24"/>
      <c r="N29" s="24"/>
      <c r="O29" s="24"/>
      <c r="P29" s="24"/>
      <c r="Q29" s="24"/>
      <c r="R29" s="24"/>
    </row>
    <row r="30" spans="2:18" ht="15" thickBot="1" x14ac:dyDescent="0.35">
      <c r="B30" s="17" t="s">
        <v>29</v>
      </c>
      <c r="C30" s="17"/>
      <c r="D30" s="17"/>
      <c r="E30" s="72">
        <f t="shared" ref="E30:O30" si="34">E20-E28</f>
        <v>4494.3340000000007</v>
      </c>
      <c r="F30" s="72">
        <f t="shared" ref="F30" si="35">F20-F28</f>
        <v>7756.4280000000017</v>
      </c>
      <c r="G30" s="72">
        <f t="shared" si="34"/>
        <v>28015</v>
      </c>
      <c r="H30" s="72">
        <f t="shared" ref="H30:I30" si="36">H20-H28</f>
        <v>34922</v>
      </c>
      <c r="I30" s="72">
        <f t="shared" si="36"/>
        <v>38928</v>
      </c>
      <c r="J30" s="72">
        <f t="shared" si="34"/>
        <v>42219</v>
      </c>
      <c r="K30" s="72">
        <f t="shared" si="34"/>
        <v>37849</v>
      </c>
      <c r="L30" s="26">
        <f t="shared" ref="L30" si="37">L20-L28</f>
        <v>39384.878088715603</v>
      </c>
      <c r="M30" s="26">
        <f t="shared" si="34"/>
        <v>43297.675895291788</v>
      </c>
      <c r="N30" s="26">
        <f t="shared" si="34"/>
        <v>49352.8372651018</v>
      </c>
      <c r="O30" s="26">
        <f t="shared" si="34"/>
        <v>55633.223080990276</v>
      </c>
      <c r="P30" s="26">
        <f t="shared" ref="P30:R30" si="38">P20-P28</f>
        <v>61599.624243782309</v>
      </c>
      <c r="Q30" s="26">
        <f t="shared" si="38"/>
        <v>67737.026782916422</v>
      </c>
      <c r="R30" s="26">
        <f t="shared" si="38"/>
        <v>74040.366072716686</v>
      </c>
    </row>
    <row r="31" spans="2:18" ht="15" thickTop="1" x14ac:dyDescent="0.3">
      <c r="E31" s="71"/>
      <c r="F31" s="71"/>
      <c r="G31" s="71"/>
      <c r="H31" s="71"/>
      <c r="I31" s="71"/>
      <c r="J31" s="71"/>
      <c r="K31" s="71"/>
      <c r="L31" s="24"/>
      <c r="M31" s="24"/>
      <c r="N31" s="24"/>
      <c r="O31" s="24"/>
      <c r="P31" s="24"/>
      <c r="Q31" s="24"/>
      <c r="R31" s="24"/>
    </row>
    <row r="32" spans="2:18" x14ac:dyDescent="0.3">
      <c r="B32" s="1" t="s">
        <v>30</v>
      </c>
      <c r="E32" s="71">
        <f>98.3+1015</f>
        <v>1113.3</v>
      </c>
      <c r="F32" s="71">
        <f>99.6+1015</f>
        <v>1114.5999999999999</v>
      </c>
      <c r="G32" s="71">
        <f>174+4</f>
        <v>178</v>
      </c>
      <c r="H32" s="71">
        <f>174+4</f>
        <v>178</v>
      </c>
      <c r="I32" s="71">
        <f>174+4</f>
        <v>178</v>
      </c>
      <c r="J32" s="71">
        <f>175+142</f>
        <v>317</v>
      </c>
      <c r="K32" s="71">
        <f>175+157</f>
        <v>332</v>
      </c>
      <c r="L32" s="24">
        <f>K32</f>
        <v>332</v>
      </c>
      <c r="M32" s="24">
        <f>L32</f>
        <v>332</v>
      </c>
      <c r="N32" s="24">
        <f t="shared" ref="N32:R32" si="39">M32</f>
        <v>332</v>
      </c>
      <c r="O32" s="24">
        <f t="shared" si="39"/>
        <v>332</v>
      </c>
      <c r="P32" s="24">
        <f t="shared" si="39"/>
        <v>332</v>
      </c>
      <c r="Q32" s="24">
        <f t="shared" si="39"/>
        <v>332</v>
      </c>
      <c r="R32" s="24">
        <f t="shared" si="39"/>
        <v>332</v>
      </c>
    </row>
    <row r="33" spans="2:23" x14ac:dyDescent="0.3">
      <c r="B33" s="1" t="s">
        <v>31</v>
      </c>
      <c r="E33" s="71">
        <v>3381.0340000000001</v>
      </c>
      <c r="F33" s="71">
        <v>6641.8280000000004</v>
      </c>
      <c r="G33" s="71">
        <v>24613</v>
      </c>
      <c r="H33" s="71">
        <v>33613</v>
      </c>
      <c r="I33" s="71">
        <v>38223</v>
      </c>
      <c r="J33" s="71">
        <v>41468</v>
      </c>
      <c r="K33" s="71">
        <v>37027</v>
      </c>
      <c r="L33" s="24">
        <f>K33+L59+L91+L92</f>
        <v>38562.878088715595</v>
      </c>
      <c r="M33" s="24">
        <f>L33+M59+M91+M92</f>
        <v>42475.675895291788</v>
      </c>
      <c r="N33" s="24">
        <f t="shared" ref="N33:R33" si="40">M33+N59+N91+N92</f>
        <v>48530.8372651018</v>
      </c>
      <c r="O33" s="24">
        <f t="shared" si="40"/>
        <v>54811.223080990283</v>
      </c>
      <c r="P33" s="24">
        <f t="shared" si="40"/>
        <v>60777.624243782309</v>
      </c>
      <c r="Q33" s="24">
        <f t="shared" si="40"/>
        <v>66915.026782916437</v>
      </c>
      <c r="R33" s="24">
        <f t="shared" si="40"/>
        <v>73218.366072716686</v>
      </c>
      <c r="W33" s="1" t="s">
        <v>188</v>
      </c>
    </row>
    <row r="34" spans="2:23" x14ac:dyDescent="0.3">
      <c r="B34" s="1" t="s">
        <v>32</v>
      </c>
      <c r="E34" s="71"/>
      <c r="F34" s="71"/>
      <c r="G34" s="71">
        <f>67+3157</f>
        <v>3224</v>
      </c>
      <c r="H34" s="71">
        <f>226+905</f>
        <v>1131</v>
      </c>
      <c r="I34" s="71">
        <f>349+178</f>
        <v>527</v>
      </c>
      <c r="J34" s="71">
        <f>429+5</f>
        <v>434</v>
      </c>
      <c r="K34" s="71">
        <f>485+5</f>
        <v>490</v>
      </c>
      <c r="L34" s="24">
        <f>K34</f>
        <v>490</v>
      </c>
      <c r="M34" s="24">
        <f>L34</f>
        <v>490</v>
      </c>
      <c r="N34" s="24">
        <f t="shared" ref="N34:R34" si="41">M34</f>
        <v>490</v>
      </c>
      <c r="O34" s="24">
        <f t="shared" si="41"/>
        <v>490</v>
      </c>
      <c r="P34" s="24">
        <f t="shared" si="41"/>
        <v>490</v>
      </c>
      <c r="Q34" s="24">
        <f t="shared" si="41"/>
        <v>490</v>
      </c>
      <c r="R34" s="24">
        <f t="shared" si="41"/>
        <v>490</v>
      </c>
      <c r="W34" s="1" t="s">
        <v>189</v>
      </c>
    </row>
    <row r="35" spans="2:23" ht="15" thickBot="1" x14ac:dyDescent="0.35">
      <c r="B35" s="17" t="s">
        <v>33</v>
      </c>
      <c r="C35" s="17"/>
      <c r="D35" s="17"/>
      <c r="E35" s="72">
        <f>SUM(E32:E34)</f>
        <v>4494.3339999999998</v>
      </c>
      <c r="F35" s="72">
        <f>SUM(F32:F34)</f>
        <v>7756.4279999999999</v>
      </c>
      <c r="G35" s="72">
        <f t="shared" ref="G35:O35" si="42">SUM(G32:G34)</f>
        <v>28015</v>
      </c>
      <c r="H35" s="72">
        <f t="shared" ref="H35:I35" si="43">SUM(H32:H34)</f>
        <v>34922</v>
      </c>
      <c r="I35" s="72">
        <f t="shared" si="43"/>
        <v>38928</v>
      </c>
      <c r="J35" s="72">
        <f t="shared" si="42"/>
        <v>42219</v>
      </c>
      <c r="K35" s="72">
        <f t="shared" si="42"/>
        <v>37849</v>
      </c>
      <c r="L35" s="26">
        <f>SUM(L32:L34)</f>
        <v>39384.878088715595</v>
      </c>
      <c r="M35" s="26">
        <f>SUM(M32:M34)</f>
        <v>43297.675895291788</v>
      </c>
      <c r="N35" s="26">
        <f>SUM(N32:N34)</f>
        <v>49352.8372651018</v>
      </c>
      <c r="O35" s="26">
        <f t="shared" si="42"/>
        <v>55633.223080990283</v>
      </c>
      <c r="P35" s="26">
        <f t="shared" ref="P35" si="44">SUM(P32:P34)</f>
        <v>61599.624243782309</v>
      </c>
      <c r="Q35" s="26">
        <f t="shared" ref="Q35" si="45">SUM(Q32:Q34)</f>
        <v>67737.026782916437</v>
      </c>
      <c r="R35" s="26">
        <f t="shared" ref="R35" si="46">SUM(R32:R34)</f>
        <v>74040.366072716686</v>
      </c>
    </row>
    <row r="36" spans="2:23" ht="15" thickTop="1" x14ac:dyDescent="0.3">
      <c r="B36" s="1" t="s">
        <v>34</v>
      </c>
      <c r="E36" s="71"/>
      <c r="F36" s="71"/>
      <c r="G36" s="71"/>
      <c r="H36" s="71"/>
      <c r="I36" s="71"/>
      <c r="J36" s="71"/>
      <c r="K36" s="71"/>
      <c r="L36" s="24">
        <f>K36+L60+L90</f>
        <v>0</v>
      </c>
      <c r="M36" s="24">
        <f>L36+M60+M90</f>
        <v>0</v>
      </c>
      <c r="N36" s="24">
        <f t="shared" ref="N36:R36" si="47">M36+N60+N90</f>
        <v>0</v>
      </c>
      <c r="O36" s="24">
        <f t="shared" si="47"/>
        <v>0</v>
      </c>
      <c r="P36" s="24">
        <f t="shared" si="47"/>
        <v>0</v>
      </c>
      <c r="Q36" s="24">
        <f t="shared" si="47"/>
        <v>0</v>
      </c>
      <c r="R36" s="24">
        <f t="shared" si="47"/>
        <v>0</v>
      </c>
    </row>
    <row r="37" spans="2:23" x14ac:dyDescent="0.3">
      <c r="B37" s="1" t="s">
        <v>136</v>
      </c>
      <c r="E37" s="71"/>
      <c r="F37" s="71"/>
      <c r="G37" s="71"/>
      <c r="H37" s="71"/>
      <c r="I37" s="71"/>
      <c r="J37" s="71"/>
      <c r="K37" s="71"/>
      <c r="L37" s="24">
        <f>K37</f>
        <v>0</v>
      </c>
      <c r="M37" s="24">
        <f>L37</f>
        <v>0</v>
      </c>
      <c r="N37" s="24">
        <f t="shared" ref="N37:R37" si="48">M37</f>
        <v>0</v>
      </c>
      <c r="O37" s="24">
        <f t="shared" si="48"/>
        <v>0</v>
      </c>
      <c r="P37" s="24">
        <f t="shared" si="48"/>
        <v>0</v>
      </c>
      <c r="Q37" s="24">
        <f t="shared" si="48"/>
        <v>0</v>
      </c>
      <c r="R37" s="24">
        <f t="shared" si="48"/>
        <v>0</v>
      </c>
    </row>
    <row r="38" spans="2:23" ht="15" thickBot="1" x14ac:dyDescent="0.35">
      <c r="B38" s="17" t="s">
        <v>35</v>
      </c>
      <c r="C38" s="17"/>
      <c r="D38" s="17"/>
      <c r="E38" s="72">
        <f t="shared" ref="E38:K38" si="49">SUM(E35:E37)</f>
        <v>4494.3339999999998</v>
      </c>
      <c r="F38" s="72">
        <f t="shared" ref="F38" si="50">SUM(F35:F37)</f>
        <v>7756.4279999999999</v>
      </c>
      <c r="G38" s="72">
        <f t="shared" si="49"/>
        <v>28015</v>
      </c>
      <c r="H38" s="72">
        <f t="shared" ref="H38:I38" si="51">SUM(H35:H37)</f>
        <v>34922</v>
      </c>
      <c r="I38" s="72">
        <f t="shared" si="51"/>
        <v>38928</v>
      </c>
      <c r="J38" s="72">
        <f t="shared" si="49"/>
        <v>42219</v>
      </c>
      <c r="K38" s="72">
        <f t="shared" si="49"/>
        <v>37849</v>
      </c>
      <c r="L38" s="26">
        <f t="shared" ref="L38" si="52">SUM(L35:L37)</f>
        <v>39384.878088715595</v>
      </c>
      <c r="M38" s="26">
        <f t="shared" ref="M38:R38" si="53">SUM(M35:M37)</f>
        <v>43297.675895291788</v>
      </c>
      <c r="N38" s="26">
        <f t="shared" si="53"/>
        <v>49352.8372651018</v>
      </c>
      <c r="O38" s="26">
        <f t="shared" si="53"/>
        <v>55633.223080990283</v>
      </c>
      <c r="P38" s="26">
        <f t="shared" si="53"/>
        <v>61599.624243782309</v>
      </c>
      <c r="Q38" s="26">
        <f t="shared" si="53"/>
        <v>67737.026782916437</v>
      </c>
      <c r="R38" s="26">
        <f t="shared" si="53"/>
        <v>74040.366072716686</v>
      </c>
    </row>
    <row r="39" spans="2:23" ht="15" thickTop="1" x14ac:dyDescent="0.3">
      <c r="E39" s="59"/>
      <c r="F39" s="59"/>
      <c r="G39" s="60"/>
      <c r="H39" s="60"/>
      <c r="I39" s="60"/>
      <c r="J39" s="60"/>
      <c r="K39" s="60"/>
    </row>
    <row r="40" spans="2:23" x14ac:dyDescent="0.3">
      <c r="B40" s="21" t="s">
        <v>36</v>
      </c>
      <c r="E40" s="73">
        <f t="shared" ref="E40:Q40" si="54">ROUND(E30-E38,6)</f>
        <v>0</v>
      </c>
      <c r="F40" s="73">
        <f t="shared" ref="F40" si="55">ROUND(F30-F38,6)</f>
        <v>0</v>
      </c>
      <c r="G40" s="73">
        <f t="shared" si="54"/>
        <v>0</v>
      </c>
      <c r="H40" s="73">
        <f t="shared" ref="H40:I40" si="56">ROUND(H30-H38,6)</f>
        <v>0</v>
      </c>
      <c r="I40" s="73">
        <f t="shared" si="56"/>
        <v>0</v>
      </c>
      <c r="J40" s="73">
        <f t="shared" si="54"/>
        <v>0</v>
      </c>
      <c r="K40" s="73">
        <f t="shared" si="54"/>
        <v>0</v>
      </c>
      <c r="L40" s="23">
        <f t="shared" ref="L40" si="57">ROUND(L30-L38,6)</f>
        <v>0</v>
      </c>
      <c r="M40" s="23">
        <f>ROUND(M30-M38,6)</f>
        <v>0</v>
      </c>
      <c r="N40" s="23">
        <f t="shared" si="54"/>
        <v>0</v>
      </c>
      <c r="O40" s="23">
        <f t="shared" si="54"/>
        <v>0</v>
      </c>
      <c r="P40" s="23">
        <f t="shared" si="54"/>
        <v>0</v>
      </c>
      <c r="Q40" s="23">
        <f t="shared" si="54"/>
        <v>0</v>
      </c>
      <c r="R40" s="23">
        <f>ROUND(R30-R38,6)</f>
        <v>0</v>
      </c>
    </row>
    <row r="41" spans="2:23" x14ac:dyDescent="0.3">
      <c r="E41" s="59"/>
      <c r="F41" s="59"/>
      <c r="G41" s="60"/>
      <c r="H41" s="60"/>
      <c r="I41" s="60"/>
      <c r="J41" s="60"/>
      <c r="K41" s="60"/>
    </row>
    <row r="42" spans="2:23" x14ac:dyDescent="0.3">
      <c r="B42" s="2" t="s">
        <v>43</v>
      </c>
      <c r="C42" s="3"/>
      <c r="D42" s="5"/>
      <c r="E42" s="59"/>
      <c r="F42" s="59"/>
      <c r="G42" s="59"/>
      <c r="H42" s="59"/>
      <c r="I42" s="59"/>
      <c r="J42" s="59"/>
      <c r="K42" s="59"/>
      <c r="L42" s="4"/>
      <c r="M42" s="4"/>
      <c r="N42" s="4"/>
      <c r="O42" s="5"/>
      <c r="P42" s="5"/>
      <c r="Q42" s="5"/>
      <c r="R42" s="5"/>
    </row>
    <row r="43" spans="2:23" x14ac:dyDescent="0.3">
      <c r="E43" s="59"/>
      <c r="F43" s="59"/>
      <c r="G43" s="60"/>
      <c r="H43" s="60"/>
      <c r="I43" s="60"/>
      <c r="J43" s="60"/>
      <c r="K43" s="60"/>
    </row>
    <row r="44" spans="2:23" x14ac:dyDescent="0.3">
      <c r="B44" s="1" t="s">
        <v>182</v>
      </c>
      <c r="E44" s="71">
        <v>1657.6389999999999</v>
      </c>
      <c r="F44" s="71">
        <v>6725.2640000000001</v>
      </c>
      <c r="G44" s="71">
        <v>7148</v>
      </c>
      <c r="H44" s="71">
        <v>7782</v>
      </c>
      <c r="I44" s="71">
        <v>24427</v>
      </c>
      <c r="J44" s="71">
        <v>15243</v>
      </c>
      <c r="K44" s="71">
        <v>13598</v>
      </c>
      <c r="L44" s="24">
        <f>summary!L30*summary!L24*summary!L20/12</f>
        <v>11769.231401988169</v>
      </c>
      <c r="M44" s="24">
        <f>summary!M30*summary!M24*summary!M20/12</f>
        <v>30419.116472246998</v>
      </c>
      <c r="N44" s="24">
        <f>summary!N30*summary!N24*summary!N20/12</f>
        <v>42882.26082208343</v>
      </c>
      <c r="O44" s="24">
        <f>summary!O30*summary!O24*summary!O20/12</f>
        <v>42882.26082208343</v>
      </c>
      <c r="P44" s="24">
        <f>summary!P30*summary!P24*summary!P20/12</f>
        <v>39373.712209367513</v>
      </c>
      <c r="Q44" s="24">
        <f>summary!Q30*summary!Q24*summary!Q20/12</f>
        <v>40161.186453554859</v>
      </c>
      <c r="R44" s="24">
        <f>summary!R30*summary!R24*summary!R20/12</f>
        <v>40964.410182625965</v>
      </c>
    </row>
    <row r="45" spans="2:23" x14ac:dyDescent="0.3">
      <c r="B45" s="1" t="s">
        <v>183</v>
      </c>
      <c r="E45" s="71">
        <v>3185</v>
      </c>
      <c r="F45" s="71">
        <v>3905</v>
      </c>
      <c r="G45" s="71">
        <v>6624</v>
      </c>
      <c r="H45" s="71">
        <v>10900</v>
      </c>
      <c r="I45" s="71">
        <v>3405</v>
      </c>
      <c r="J45" s="71">
        <v>5200</v>
      </c>
      <c r="K45" s="71">
        <v>-8084</v>
      </c>
      <c r="L45" s="24"/>
      <c r="M45" s="24"/>
      <c r="N45" s="24"/>
      <c r="O45" s="24"/>
      <c r="P45" s="24"/>
      <c r="Q45" s="24"/>
      <c r="R45" s="24"/>
    </row>
    <row r="46" spans="2:23" x14ac:dyDescent="0.3">
      <c r="B46" s="1" t="s">
        <v>45</v>
      </c>
      <c r="E46" s="71">
        <v>-1021.4880000000001</v>
      </c>
      <c r="F46" s="71">
        <v>-3839.2820000000002</v>
      </c>
      <c r="G46" s="71">
        <v>-3686</v>
      </c>
      <c r="H46" s="71">
        <v>-4292</v>
      </c>
      <c r="I46" s="71">
        <v>-14420</v>
      </c>
      <c r="J46" s="71">
        <v>-10062</v>
      </c>
      <c r="K46" s="71">
        <v>-7701</v>
      </c>
      <c r="L46" s="24">
        <f>-L44*(summary!L25)</f>
        <v>-6844.7715220505643</v>
      </c>
      <c r="M46" s="24">
        <f>-M44*(summary!M25)</f>
        <v>-17691.206421517243</v>
      </c>
      <c r="N46" s="24">
        <f>-N44*(summary!N25)</f>
        <v>-24939.545128372381</v>
      </c>
      <c r="O46" s="24">
        <f>-O44*(summary!O25)</f>
        <v>-24939.545128372381</v>
      </c>
      <c r="P46" s="24">
        <f>-P44*(summary!P25)</f>
        <v>-22899.036890596461</v>
      </c>
      <c r="Q46" s="24">
        <f>-Q44*(summary!Q25)</f>
        <v>-23357.017628408386</v>
      </c>
      <c r="R46" s="24">
        <f>-R44*(summary!R25)</f>
        <v>-23824.157980976557</v>
      </c>
    </row>
    <row r="47" spans="2:23" ht="15" thickBot="1" x14ac:dyDescent="0.35">
      <c r="B47" s="17" t="s">
        <v>46</v>
      </c>
      <c r="C47" s="17"/>
      <c r="D47" s="17"/>
      <c r="E47" s="72">
        <f t="shared" ref="E47:O47" si="58">SUM(E44:E46)</f>
        <v>3821.1509999999998</v>
      </c>
      <c r="F47" s="72">
        <f t="shared" ref="F47" si="59">SUM(F44:F46)</f>
        <v>6790.9819999999991</v>
      </c>
      <c r="G47" s="72">
        <f t="shared" si="58"/>
        <v>10086</v>
      </c>
      <c r="H47" s="72">
        <f t="shared" ref="H47:I47" si="60">SUM(H44:H46)</f>
        <v>14390</v>
      </c>
      <c r="I47" s="72">
        <f t="shared" si="60"/>
        <v>13412</v>
      </c>
      <c r="J47" s="72">
        <f t="shared" si="58"/>
        <v>10381</v>
      </c>
      <c r="K47" s="72">
        <f t="shared" si="58"/>
        <v>-2187</v>
      </c>
      <c r="L47" s="26">
        <f t="shared" ref="L47" si="61">SUM(L44:L46)</f>
        <v>4924.4598799376045</v>
      </c>
      <c r="M47" s="26">
        <f t="shared" si="58"/>
        <v>12727.910050729755</v>
      </c>
      <c r="N47" s="26">
        <f t="shared" si="58"/>
        <v>17942.715693711049</v>
      </c>
      <c r="O47" s="26">
        <f t="shared" si="58"/>
        <v>17942.715693711049</v>
      </c>
      <c r="P47" s="26">
        <f t="shared" ref="P47" si="62">SUM(P44:P46)</f>
        <v>16474.675318771053</v>
      </c>
      <c r="Q47" s="26">
        <f t="shared" ref="Q47" si="63">SUM(Q44:Q46)</f>
        <v>16804.168825146473</v>
      </c>
      <c r="R47" s="26">
        <f t="shared" ref="R47" si="64">SUM(R44:R46)</f>
        <v>17140.252201649408</v>
      </c>
    </row>
    <row r="48" spans="2:23" ht="15" thickTop="1" x14ac:dyDescent="0.3">
      <c r="B48" s="1" t="s">
        <v>47</v>
      </c>
      <c r="E48" s="71">
        <v>-1788.0519999999999</v>
      </c>
      <c r="F48" s="71">
        <v>-2719.7689999999998</v>
      </c>
      <c r="G48" s="71">
        <v>-2874</v>
      </c>
      <c r="H48" s="71">
        <v>-4586</v>
      </c>
      <c r="I48" s="71">
        <f>-6014-I51</f>
        <v>-5853</v>
      </c>
      <c r="J48" s="71">
        <f>-5077-J51</f>
        <v>-4884</v>
      </c>
      <c r="K48" s="71">
        <f>-3071-K51</f>
        <v>-2975</v>
      </c>
      <c r="L48" s="24">
        <f>summary!L26*'detailed-financials'!L46</f>
        <v>-2601.0131783792144</v>
      </c>
      <c r="M48" s="24">
        <f>summary!M26*'detailed-financials'!M46</f>
        <v>-6368.8343117462073</v>
      </c>
      <c r="N48" s="24">
        <f>summary!N26*'detailed-financials'!N46</f>
        <v>-8479.4453436466101</v>
      </c>
      <c r="O48" s="24">
        <f>summary!O26*'detailed-financials'!O46</f>
        <v>-7980.6544410791621</v>
      </c>
      <c r="P48" s="24">
        <f>summary!P26*'detailed-financials'!P46</f>
        <v>-6869.7110671789378</v>
      </c>
      <c r="Q48" s="24">
        <f>summary!Q26*'detailed-financials'!Q46</f>
        <v>-7007.1052885225154</v>
      </c>
      <c r="R48" s="24">
        <f>summary!R26*'detailed-financials'!R46</f>
        <v>-7147.2473942929673</v>
      </c>
    </row>
    <row r="49" spans="2:18" x14ac:dyDescent="0.3">
      <c r="B49" s="1" t="s">
        <v>190</v>
      </c>
      <c r="E49" s="71"/>
      <c r="F49" s="71"/>
      <c r="G49" s="71">
        <v>-882</v>
      </c>
      <c r="H49" s="71"/>
      <c r="I49" s="71"/>
      <c r="J49" s="71"/>
      <c r="K49" s="71"/>
      <c r="L49" s="24"/>
      <c r="M49" s="24"/>
      <c r="N49" s="24"/>
      <c r="O49" s="24"/>
      <c r="P49" s="24"/>
      <c r="Q49" s="24"/>
      <c r="R49" s="24"/>
    </row>
    <row r="50" spans="2:18" ht="15" thickBot="1" x14ac:dyDescent="0.35">
      <c r="B50" s="17" t="s">
        <v>48</v>
      </c>
      <c r="C50" s="17"/>
      <c r="D50" s="17"/>
      <c r="E50" s="72">
        <f t="shared" ref="E50:K50" si="65">SUM(E47:E49)</f>
        <v>2033.0989999999999</v>
      </c>
      <c r="F50" s="72">
        <f t="shared" ref="F50" si="66">SUM(F47:F49)</f>
        <v>4071.2129999999993</v>
      </c>
      <c r="G50" s="72">
        <f t="shared" si="65"/>
        <v>6330</v>
      </c>
      <c r="H50" s="72">
        <f t="shared" ref="H50:I50" si="67">SUM(H47:H49)</f>
        <v>9804</v>
      </c>
      <c r="I50" s="72">
        <f t="shared" si="67"/>
        <v>7559</v>
      </c>
      <c r="J50" s="72">
        <f t="shared" si="65"/>
        <v>5497</v>
      </c>
      <c r="K50" s="72">
        <f t="shared" si="65"/>
        <v>-5162</v>
      </c>
      <c r="L50" s="26">
        <f t="shared" ref="L50" si="68">SUM(L47:L49)</f>
        <v>2323.44670155839</v>
      </c>
      <c r="M50" s="26">
        <f t="shared" ref="M50:O50" si="69">SUM(M47:M49)</f>
        <v>6359.075738983548</v>
      </c>
      <c r="N50" s="26">
        <f t="shared" si="69"/>
        <v>9463.2703500644384</v>
      </c>
      <c r="O50" s="26">
        <f t="shared" si="69"/>
        <v>9962.0612526318873</v>
      </c>
      <c r="P50" s="26">
        <f t="shared" ref="P50" si="70">SUM(P47:P49)</f>
        <v>9604.964251592115</v>
      </c>
      <c r="Q50" s="26">
        <f t="shared" ref="Q50" si="71">SUM(Q47:Q49)</f>
        <v>9797.0635366239585</v>
      </c>
      <c r="R50" s="26">
        <f t="shared" ref="R50" si="72">SUM(R47:R49)</f>
        <v>9993.0048073564394</v>
      </c>
    </row>
    <row r="51" spans="2:18" ht="15" thickTop="1" x14ac:dyDescent="0.3">
      <c r="B51" s="1" t="s">
        <v>49</v>
      </c>
      <c r="E51" s="71">
        <f>-E73</f>
        <v>0</v>
      </c>
      <c r="F51" s="71">
        <f t="shared" ref="F51:K51" si="73">-F73</f>
        <v>0</v>
      </c>
      <c r="G51" s="71">
        <f t="shared" si="73"/>
        <v>0</v>
      </c>
      <c r="H51" s="71">
        <f t="shared" si="73"/>
        <v>0</v>
      </c>
      <c r="I51" s="71">
        <f t="shared" si="73"/>
        <v>-161</v>
      </c>
      <c r="J51" s="71">
        <f t="shared" si="73"/>
        <v>-193</v>
      </c>
      <c r="K51" s="71">
        <f t="shared" si="73"/>
        <v>-96</v>
      </c>
      <c r="L51" s="24">
        <f>-summary!L27*(K18)</f>
        <v>-0.4</v>
      </c>
      <c r="M51" s="24">
        <f>-summary!M27*(L18)</f>
        <v>-0.32000000000000006</v>
      </c>
      <c r="N51" s="24">
        <f>-summary!N27*(M18)</f>
        <v>-0.25600000000000001</v>
      </c>
      <c r="O51" s="24">
        <f>-summary!O27*(N18)</f>
        <v>-0.20480000000000001</v>
      </c>
      <c r="P51" s="24">
        <f>-summary!P27*(O18)</f>
        <v>-0.16384000000000001</v>
      </c>
      <c r="Q51" s="24">
        <f>-summary!Q27*(P18)</f>
        <v>-0.13107200000000002</v>
      </c>
      <c r="R51" s="24">
        <f>-summary!R27*(Q18)</f>
        <v>-0.10485760000000002</v>
      </c>
    </row>
    <row r="52" spans="2:18" ht="15" thickBot="1" x14ac:dyDescent="0.35">
      <c r="B52" s="17" t="s">
        <v>50</v>
      </c>
      <c r="C52" s="17"/>
      <c r="D52" s="17"/>
      <c r="E52" s="72">
        <f t="shared" ref="E52:O52" si="74">SUM(E50:E51)</f>
        <v>2033.0989999999999</v>
      </c>
      <c r="F52" s="72">
        <f t="shared" ref="F52" si="75">SUM(F50:F51)</f>
        <v>4071.2129999999993</v>
      </c>
      <c r="G52" s="72">
        <f t="shared" si="74"/>
        <v>6330</v>
      </c>
      <c r="H52" s="72">
        <f t="shared" ref="H52:I52" si="76">SUM(H50:H51)</f>
        <v>9804</v>
      </c>
      <c r="I52" s="72">
        <f t="shared" si="76"/>
        <v>7398</v>
      </c>
      <c r="J52" s="72">
        <f t="shared" si="74"/>
        <v>5304</v>
      </c>
      <c r="K52" s="72">
        <f t="shared" si="74"/>
        <v>-5258</v>
      </c>
      <c r="L52" s="26">
        <f t="shared" ref="L52" si="77">SUM(L50:L51)</f>
        <v>2323.0467015583899</v>
      </c>
      <c r="M52" s="26">
        <f t="shared" si="74"/>
        <v>6358.7557389835483</v>
      </c>
      <c r="N52" s="26">
        <f t="shared" si="74"/>
        <v>9463.014350064439</v>
      </c>
      <c r="O52" s="26">
        <f t="shared" si="74"/>
        <v>9961.8564526318878</v>
      </c>
      <c r="P52" s="26">
        <f t="shared" ref="P52" si="78">SUM(P50:P51)</f>
        <v>9604.8004115921158</v>
      </c>
      <c r="Q52" s="26">
        <f t="shared" ref="Q52" si="79">SUM(Q50:Q51)</f>
        <v>9796.9324646239584</v>
      </c>
      <c r="R52" s="26">
        <f t="shared" ref="R52" si="80">SUM(R50:R51)</f>
        <v>9992.89994975644</v>
      </c>
    </row>
    <row r="53" spans="2:18" ht="15" thickTop="1" x14ac:dyDescent="0.3">
      <c r="B53" s="1" t="s">
        <v>58</v>
      </c>
      <c r="E53" s="71">
        <v>-222.559</v>
      </c>
      <c r="F53" s="71">
        <v>-379.54199999999997</v>
      </c>
      <c r="G53" s="71">
        <v>-393</v>
      </c>
      <c r="H53" s="71">
        <v>-437</v>
      </c>
      <c r="I53" s="71">
        <v>-457</v>
      </c>
      <c r="J53" s="71">
        <v>-796</v>
      </c>
      <c r="K53" s="71">
        <v>-205</v>
      </c>
      <c r="L53" s="24">
        <f>-AVERAGE(K26:L26)*summary!L28*L7/12</f>
        <v>-426.90091302061802</v>
      </c>
      <c r="M53" s="24">
        <f>-AVERAGE(L26:M26)*summary!M28</f>
        <v>-1141.6919968819568</v>
      </c>
      <c r="N53" s="24">
        <f>-AVERAGE(M26:N26)*summary!N28</f>
        <v>-1389.4658569844189</v>
      </c>
      <c r="O53" s="24">
        <f>-AVERAGE(N26:O26)*summary!O28</f>
        <v>-1588.0086981139148</v>
      </c>
      <c r="P53" s="24">
        <f>-AVERAGE(O26:P26)*summary!P28</f>
        <v>-1649.5988612027463</v>
      </c>
      <c r="Q53" s="24">
        <f>-AVERAGE(P26:Q26)*summary!Q28</f>
        <v>-1613.7290791117955</v>
      </c>
      <c r="R53" s="24">
        <f>-AVERAGE(Q26:R26)*summary!R28</f>
        <v>-1588.4475633561165</v>
      </c>
    </row>
    <row r="54" spans="2:18" x14ac:dyDescent="0.3">
      <c r="B54" s="1" t="s">
        <v>59</v>
      </c>
      <c r="E54" s="71">
        <v>2.1269999999999998</v>
      </c>
      <c r="F54" s="71">
        <v>1.5149999999999999</v>
      </c>
      <c r="G54" s="71">
        <v>1</v>
      </c>
      <c r="H54" s="71">
        <v>89</v>
      </c>
      <c r="I54" s="71">
        <v>50</v>
      </c>
      <c r="J54" s="71"/>
      <c r="K54" s="71">
        <v>2</v>
      </c>
      <c r="L54" s="24">
        <f>L76</f>
        <v>0</v>
      </c>
      <c r="M54" s="24">
        <f>M76</f>
        <v>0</v>
      </c>
      <c r="N54" s="24">
        <f t="shared" ref="N54:R54" si="81">N76</f>
        <v>0</v>
      </c>
      <c r="O54" s="24">
        <f t="shared" si="81"/>
        <v>0</v>
      </c>
      <c r="P54" s="24">
        <f t="shared" si="81"/>
        <v>0</v>
      </c>
      <c r="Q54" s="24">
        <f t="shared" si="81"/>
        <v>0</v>
      </c>
      <c r="R54" s="24">
        <f t="shared" si="81"/>
        <v>0</v>
      </c>
    </row>
    <row r="55" spans="2:18" ht="15" thickBot="1" x14ac:dyDescent="0.35">
      <c r="B55" s="17" t="s">
        <v>51</v>
      </c>
      <c r="C55" s="17"/>
      <c r="D55" s="17"/>
      <c r="E55" s="72">
        <f t="shared" ref="E55:O55" si="82">SUM(E52:E54)</f>
        <v>1812.6669999999999</v>
      </c>
      <c r="F55" s="72">
        <f t="shared" ref="F55" si="83">SUM(F52:F54)</f>
        <v>3693.1859999999992</v>
      </c>
      <c r="G55" s="72">
        <f>SUM(G52:G54)</f>
        <v>5938</v>
      </c>
      <c r="H55" s="72">
        <f t="shared" ref="H55:I55" si="84">SUM(H52:H54)</f>
        <v>9456</v>
      </c>
      <c r="I55" s="72">
        <f t="shared" si="84"/>
        <v>6991</v>
      </c>
      <c r="J55" s="72">
        <f t="shared" si="82"/>
        <v>4508</v>
      </c>
      <c r="K55" s="72">
        <f t="shared" si="82"/>
        <v>-5461</v>
      </c>
      <c r="L55" s="26">
        <f>SUM(L52:L54)</f>
        <v>1896.145788537772</v>
      </c>
      <c r="M55" s="26">
        <f t="shared" si="82"/>
        <v>5217.0637421015917</v>
      </c>
      <c r="N55" s="26">
        <f t="shared" si="82"/>
        <v>8073.5484930800203</v>
      </c>
      <c r="O55" s="26">
        <f t="shared" si="82"/>
        <v>8373.847754517974</v>
      </c>
      <c r="P55" s="26">
        <f t="shared" ref="P55" si="85">SUM(P52:P54)</f>
        <v>7955.201550389369</v>
      </c>
      <c r="Q55" s="26">
        <f t="shared" ref="Q55" si="86">SUM(Q52:Q54)</f>
        <v>8183.2033855121626</v>
      </c>
      <c r="R55" s="26">
        <f t="shared" ref="R55" si="87">SUM(R52:R54)</f>
        <v>8404.452386400324</v>
      </c>
    </row>
    <row r="56" spans="2:18" ht="15" thickTop="1" x14ac:dyDescent="0.3">
      <c r="B56" s="1" t="s">
        <v>52</v>
      </c>
      <c r="E56" s="71">
        <v>-424.94900000000001</v>
      </c>
      <c r="F56" s="71">
        <v>-432.392</v>
      </c>
      <c r="G56" s="71">
        <v>-1274</v>
      </c>
      <c r="H56" s="71">
        <v>-1841</v>
      </c>
      <c r="I56" s="71">
        <v>-1291</v>
      </c>
      <c r="J56" s="71">
        <v>-830</v>
      </c>
      <c r="K56" s="71">
        <v>1020</v>
      </c>
      <c r="L56" s="24">
        <f>L55*-summary!L29</f>
        <v>-360.26769982217667</v>
      </c>
      <c r="M56" s="24">
        <f>M55*-summary!M29</f>
        <v>-1304.2659355253979</v>
      </c>
      <c r="N56" s="24">
        <f>N55*-summary!N29</f>
        <v>-2018.3871232700051</v>
      </c>
      <c r="O56" s="24">
        <f>O55*-summary!O29</f>
        <v>-2093.4619386294935</v>
      </c>
      <c r="P56" s="24">
        <f>P55*-summary!P29</f>
        <v>-1988.8003875973423</v>
      </c>
      <c r="Q56" s="24">
        <f>Q55*-summary!Q29</f>
        <v>-2045.8008463780407</v>
      </c>
      <c r="R56" s="24">
        <f>R55*-summary!R29</f>
        <v>-2101.113096600081</v>
      </c>
    </row>
    <row r="57" spans="2:18" ht="15" thickBot="1" x14ac:dyDescent="0.35">
      <c r="B57" s="17" t="s">
        <v>53</v>
      </c>
      <c r="C57" s="17"/>
      <c r="D57" s="17"/>
      <c r="E57" s="72">
        <f t="shared" ref="E57:O57" si="88">SUM(E55:E56)</f>
        <v>1387.7179999999998</v>
      </c>
      <c r="F57" s="72">
        <f t="shared" ref="F57" si="89">SUM(F55:F56)</f>
        <v>3260.7939999999994</v>
      </c>
      <c r="G57" s="72">
        <f t="shared" si="88"/>
        <v>4664</v>
      </c>
      <c r="H57" s="72">
        <f t="shared" ref="H57" si="90">SUM(H55:H56)</f>
        <v>7615</v>
      </c>
      <c r="I57" s="72">
        <f>SUM(I55:I56)</f>
        <v>5700</v>
      </c>
      <c r="J57" s="72">
        <f t="shared" si="88"/>
        <v>3678</v>
      </c>
      <c r="K57" s="72">
        <f t="shared" si="88"/>
        <v>-4441</v>
      </c>
      <c r="L57" s="26">
        <f t="shared" ref="L57" si="91">SUM(L55:L56)</f>
        <v>1535.8780887155954</v>
      </c>
      <c r="M57" s="26">
        <f t="shared" si="88"/>
        <v>3912.7978065761936</v>
      </c>
      <c r="N57" s="26">
        <f t="shared" si="88"/>
        <v>6055.1613698100155</v>
      </c>
      <c r="O57" s="26">
        <f t="shared" si="88"/>
        <v>6280.3858158884805</v>
      </c>
      <c r="P57" s="26">
        <f t="shared" ref="P57:R57" si="92">SUM(P55:P56)</f>
        <v>5966.4011627920263</v>
      </c>
      <c r="Q57" s="26">
        <f t="shared" si="92"/>
        <v>6137.402539134122</v>
      </c>
      <c r="R57" s="26">
        <f t="shared" si="92"/>
        <v>6303.339289800243</v>
      </c>
    </row>
    <row r="58" spans="2:18" ht="15" thickTop="1" x14ac:dyDescent="0.3">
      <c r="E58" s="71"/>
      <c r="F58" s="71"/>
      <c r="G58" s="71"/>
      <c r="H58" s="71"/>
      <c r="I58" s="71"/>
      <c r="J58" s="71"/>
      <c r="K58" s="71"/>
      <c r="L58" s="24"/>
      <c r="M58" s="24"/>
      <c r="N58" s="24"/>
      <c r="O58" s="24"/>
      <c r="P58" s="24"/>
      <c r="Q58" s="24"/>
      <c r="R58" s="24"/>
    </row>
    <row r="59" spans="2:18" x14ac:dyDescent="0.3">
      <c r="B59" s="1" t="s">
        <v>56</v>
      </c>
      <c r="E59" s="71">
        <f t="shared" ref="E59:K59" si="93">E57</f>
        <v>1387.7179999999998</v>
      </c>
      <c r="F59" s="71">
        <f t="shared" si="93"/>
        <v>3260.7939999999994</v>
      </c>
      <c r="G59" s="71">
        <f t="shared" si="93"/>
        <v>4664</v>
      </c>
      <c r="H59" s="71">
        <f t="shared" si="93"/>
        <v>7615</v>
      </c>
      <c r="I59" s="71">
        <f t="shared" si="93"/>
        <v>5700</v>
      </c>
      <c r="J59" s="71">
        <f t="shared" si="93"/>
        <v>3678</v>
      </c>
      <c r="K59" s="71">
        <f t="shared" si="93"/>
        <v>-4441</v>
      </c>
      <c r="L59" s="24">
        <f>L57-L60</f>
        <v>1535.8780887155954</v>
      </c>
      <c r="M59" s="24">
        <f>M57-M60</f>
        <v>3912.7978065761936</v>
      </c>
      <c r="N59" s="24">
        <f t="shared" ref="N59:R59" si="94">N57-N60</f>
        <v>6055.1613698100155</v>
      </c>
      <c r="O59" s="24">
        <f t="shared" si="94"/>
        <v>6280.3858158884805</v>
      </c>
      <c r="P59" s="24">
        <f t="shared" si="94"/>
        <v>5966.4011627920263</v>
      </c>
      <c r="Q59" s="24">
        <f t="shared" si="94"/>
        <v>6137.402539134122</v>
      </c>
      <c r="R59" s="24">
        <f t="shared" si="94"/>
        <v>6303.339289800243</v>
      </c>
    </row>
    <row r="60" spans="2:18" x14ac:dyDescent="0.3">
      <c r="B60" s="1" t="s">
        <v>57</v>
      </c>
      <c r="E60" s="71"/>
      <c r="F60" s="71"/>
      <c r="G60" s="71"/>
      <c r="H60" s="71"/>
      <c r="I60" s="71"/>
      <c r="J60" s="71"/>
      <c r="K60" s="71"/>
      <c r="L60" s="24">
        <f>L57*summary!L37</f>
        <v>0</v>
      </c>
      <c r="M60" s="24">
        <f>M57*summary!M37</f>
        <v>0</v>
      </c>
      <c r="N60" s="24">
        <f>N57*summary!N37</f>
        <v>0</v>
      </c>
      <c r="O60" s="24">
        <f>O57*summary!O37</f>
        <v>0</v>
      </c>
      <c r="P60" s="24">
        <f>P57*summary!P37</f>
        <v>0</v>
      </c>
      <c r="Q60" s="24">
        <f>Q57*summary!Q37</f>
        <v>0</v>
      </c>
      <c r="R60" s="24">
        <f>R57*summary!R37</f>
        <v>0</v>
      </c>
    </row>
    <row r="61" spans="2:18" x14ac:dyDescent="0.3">
      <c r="E61" s="71"/>
      <c r="F61" s="71"/>
      <c r="G61" s="71"/>
      <c r="H61" s="71"/>
      <c r="I61" s="71"/>
      <c r="J61" s="71"/>
      <c r="K61" s="71"/>
      <c r="L61" s="24"/>
      <c r="M61" s="24"/>
      <c r="N61" s="24"/>
      <c r="O61" s="24"/>
      <c r="P61" s="24"/>
      <c r="Q61" s="24"/>
      <c r="R61" s="24"/>
    </row>
    <row r="62" spans="2:18" x14ac:dyDescent="0.3">
      <c r="B62" s="1" t="s">
        <v>60</v>
      </c>
      <c r="E62" s="74"/>
      <c r="F62" s="74"/>
      <c r="G62" s="74">
        <v>12</v>
      </c>
      <c r="H62" s="74">
        <v>17</v>
      </c>
      <c r="I62" s="74">
        <v>13</v>
      </c>
      <c r="J62" s="74">
        <v>8</v>
      </c>
      <c r="K62" s="74">
        <v>-10</v>
      </c>
      <c r="L62" s="30">
        <f>L59/summary!$D$13*10^5</f>
        <v>3.4584059642323699</v>
      </c>
      <c r="M62" s="30">
        <f>M59/summary!$D$13*10^5</f>
        <v>8.8106232978522705</v>
      </c>
      <c r="N62" s="30">
        <f>N59/summary!$D$13*10^5</f>
        <v>13.63467995904079</v>
      </c>
      <c r="O62" s="30">
        <f>O59/summary!$D$13*10^5</f>
        <v>14.14182800245098</v>
      </c>
      <c r="P62" s="30">
        <f>P59/summary!$D$13*10^5</f>
        <v>13.434814597595196</v>
      </c>
      <c r="Q62" s="30">
        <f>Q59/summary!$D$13*10^5</f>
        <v>13.819866109286473</v>
      </c>
      <c r="R62" s="30">
        <f>R59/summary!$D$13*10^5</f>
        <v>14.193513374916106</v>
      </c>
    </row>
    <row r="63" spans="2:18" x14ac:dyDescent="0.3">
      <c r="B63" s="1" t="s">
        <v>61</v>
      </c>
      <c r="E63" s="74"/>
      <c r="F63" s="74"/>
      <c r="G63" s="74">
        <v>10</v>
      </c>
      <c r="H63" s="74">
        <v>17</v>
      </c>
      <c r="I63" s="74">
        <v>13</v>
      </c>
      <c r="J63" s="74">
        <v>8</v>
      </c>
      <c r="K63" s="74">
        <v>-10</v>
      </c>
      <c r="L63" s="30">
        <f>L62</f>
        <v>3.4584059642323699</v>
      </c>
      <c r="M63" s="30">
        <f t="shared" ref="M63:R63" si="95">M62</f>
        <v>8.8106232978522705</v>
      </c>
      <c r="N63" s="30">
        <f t="shared" si="95"/>
        <v>13.63467995904079</v>
      </c>
      <c r="O63" s="30">
        <f t="shared" si="95"/>
        <v>14.14182800245098</v>
      </c>
      <c r="P63" s="30">
        <f t="shared" si="95"/>
        <v>13.434814597595196</v>
      </c>
      <c r="Q63" s="30">
        <f t="shared" si="95"/>
        <v>13.819866109286473</v>
      </c>
      <c r="R63" s="30">
        <f t="shared" si="95"/>
        <v>14.193513374916106</v>
      </c>
    </row>
    <row r="64" spans="2:18" x14ac:dyDescent="0.3">
      <c r="E64" s="59"/>
      <c r="F64" s="59"/>
      <c r="G64" s="60"/>
      <c r="H64" s="60"/>
      <c r="I64" s="60"/>
      <c r="J64" s="60"/>
      <c r="K64" s="60"/>
    </row>
    <row r="65" spans="2:18" x14ac:dyDescent="0.3">
      <c r="B65" s="21" t="s">
        <v>54</v>
      </c>
      <c r="E65" s="29">
        <v>1387.7180000000001</v>
      </c>
      <c r="F65" s="29">
        <v>3260.7939999999999</v>
      </c>
      <c r="G65" s="29">
        <v>4664</v>
      </c>
      <c r="H65" s="29">
        <v>7615</v>
      </c>
      <c r="I65" s="29">
        <v>5700</v>
      </c>
      <c r="J65" s="29">
        <v>3678</v>
      </c>
      <c r="K65" s="29">
        <v>-4441</v>
      </c>
      <c r="L65" s="29">
        <f>L57</f>
        <v>1535.8780887155954</v>
      </c>
      <c r="M65" s="29">
        <f>M57</f>
        <v>3912.7978065761936</v>
      </c>
      <c r="N65" s="29">
        <f t="shared" ref="N65:R65" si="96">N57</f>
        <v>6055.1613698100155</v>
      </c>
      <c r="O65" s="29">
        <f t="shared" si="96"/>
        <v>6280.3858158884805</v>
      </c>
      <c r="P65" s="29">
        <f t="shared" si="96"/>
        <v>5966.4011627920263</v>
      </c>
      <c r="Q65" s="29">
        <f t="shared" si="96"/>
        <v>6137.402539134122</v>
      </c>
      <c r="R65" s="29">
        <f t="shared" si="96"/>
        <v>6303.339289800243</v>
      </c>
    </row>
    <row r="66" spans="2:18" x14ac:dyDescent="0.3">
      <c r="B66" s="21" t="s">
        <v>36</v>
      </c>
      <c r="E66" s="75">
        <f>ROUND(E65-E57,6)</f>
        <v>0</v>
      </c>
      <c r="F66" s="75">
        <f t="shared" ref="F66:I66" si="97">ROUND(F65-F57,6)</f>
        <v>0</v>
      </c>
      <c r="G66" s="75">
        <f t="shared" si="97"/>
        <v>0</v>
      </c>
      <c r="H66" s="75">
        <f t="shared" si="97"/>
        <v>0</v>
      </c>
      <c r="I66" s="75">
        <f t="shared" si="97"/>
        <v>0</v>
      </c>
      <c r="J66" s="75">
        <f t="shared" ref="J66:Q66" si="98">ROUND(J65-J57+(J57-J59-J60),6)</f>
        <v>0</v>
      </c>
      <c r="K66" s="75">
        <f t="shared" si="98"/>
        <v>0</v>
      </c>
      <c r="L66" s="32">
        <f t="shared" ref="L66" si="99">ROUND(L65-L57+(L57-L59-L60),6)</f>
        <v>0</v>
      </c>
      <c r="M66" s="32">
        <f t="shared" si="98"/>
        <v>0</v>
      </c>
      <c r="N66" s="32">
        <f t="shared" si="98"/>
        <v>0</v>
      </c>
      <c r="O66" s="32">
        <f t="shared" si="98"/>
        <v>0</v>
      </c>
      <c r="P66" s="32">
        <f t="shared" si="98"/>
        <v>0</v>
      </c>
      <c r="Q66" s="32">
        <f t="shared" si="98"/>
        <v>0</v>
      </c>
      <c r="R66" s="32">
        <f>ROUND(R65-R57+(R57-R59-R60),6)</f>
        <v>0</v>
      </c>
    </row>
    <row r="67" spans="2:18" x14ac:dyDescent="0.3">
      <c r="E67" s="59"/>
      <c r="F67" s="59"/>
      <c r="G67" s="60"/>
      <c r="H67" s="60"/>
      <c r="I67" s="60"/>
      <c r="J67" s="60"/>
      <c r="K67" s="60"/>
    </row>
    <row r="68" spans="2:18" x14ac:dyDescent="0.3">
      <c r="B68" s="2" t="s">
        <v>62</v>
      </c>
      <c r="C68" s="3"/>
      <c r="D68" s="5"/>
      <c r="E68" s="59"/>
      <c r="F68" s="59"/>
      <c r="G68" s="59"/>
      <c r="H68" s="59"/>
      <c r="I68" s="59"/>
      <c r="J68" s="59"/>
      <c r="K68" s="59"/>
      <c r="L68" s="4"/>
      <c r="M68" s="4"/>
      <c r="N68" s="4"/>
      <c r="O68" s="5"/>
      <c r="P68" s="5"/>
      <c r="Q68" s="5"/>
      <c r="R68" s="5"/>
    </row>
    <row r="69" spans="2:18" x14ac:dyDescent="0.3">
      <c r="D69" s="24"/>
      <c r="E69" s="59"/>
      <c r="F69" s="59"/>
      <c r="G69" s="60"/>
      <c r="H69" s="60"/>
      <c r="I69" s="60"/>
      <c r="J69" s="60"/>
      <c r="K69" s="60"/>
    </row>
    <row r="70" spans="2:18" x14ac:dyDescent="0.3">
      <c r="B70" s="1" t="s">
        <v>71</v>
      </c>
      <c r="E70" s="71">
        <f>E55</f>
        <v>1812.6669999999999</v>
      </c>
      <c r="F70" s="71">
        <f t="shared" ref="F70:K70" si="100">F55</f>
        <v>3693.1859999999992</v>
      </c>
      <c r="G70" s="71">
        <f t="shared" si="100"/>
        <v>5938</v>
      </c>
      <c r="H70" s="71">
        <f t="shared" si="100"/>
        <v>9456</v>
      </c>
      <c r="I70" s="71">
        <f t="shared" si="100"/>
        <v>6991</v>
      </c>
      <c r="J70" s="71">
        <f t="shared" si="100"/>
        <v>4508</v>
      </c>
      <c r="K70" s="71">
        <f t="shared" si="100"/>
        <v>-5461</v>
      </c>
      <c r="L70" s="24">
        <f>L52</f>
        <v>2323.0467015583899</v>
      </c>
      <c r="M70" s="24">
        <f>M52</f>
        <v>6358.7557389835483</v>
      </c>
      <c r="N70" s="24">
        <f t="shared" ref="N70:O70" si="101">N52</f>
        <v>9463.014350064439</v>
      </c>
      <c r="O70" s="24">
        <f t="shared" si="101"/>
        <v>9961.8564526318878</v>
      </c>
      <c r="P70" s="24">
        <f t="shared" ref="P70:R70" si="102">P52</f>
        <v>9604.8004115921158</v>
      </c>
      <c r="Q70" s="24">
        <f t="shared" si="102"/>
        <v>9796.9324646239584</v>
      </c>
      <c r="R70" s="24">
        <f t="shared" si="102"/>
        <v>9992.89994975644</v>
      </c>
    </row>
    <row r="71" spans="2:18" x14ac:dyDescent="0.3">
      <c r="B71" s="1" t="s">
        <v>184</v>
      </c>
      <c r="E71" s="71">
        <f t="shared" ref="E71:K71" si="103">-E45</f>
        <v>-3185</v>
      </c>
      <c r="F71" s="71">
        <f t="shared" si="103"/>
        <v>-3905</v>
      </c>
      <c r="G71" s="71">
        <f t="shared" si="103"/>
        <v>-6624</v>
      </c>
      <c r="H71" s="71">
        <f t="shared" si="103"/>
        <v>-10900</v>
      </c>
      <c r="I71" s="71">
        <f t="shared" si="103"/>
        <v>-3405</v>
      </c>
      <c r="J71" s="71">
        <f t="shared" si="103"/>
        <v>-5200</v>
      </c>
      <c r="K71" s="71">
        <f t="shared" si="103"/>
        <v>8084</v>
      </c>
      <c r="L71" s="71">
        <f t="shared" ref="L71:R71" si="104">-L45</f>
        <v>0</v>
      </c>
      <c r="M71" s="71">
        <f t="shared" si="104"/>
        <v>0</v>
      </c>
      <c r="N71" s="71">
        <f t="shared" si="104"/>
        <v>0</v>
      </c>
      <c r="O71" s="71">
        <f t="shared" si="104"/>
        <v>0</v>
      </c>
      <c r="P71" s="71">
        <f t="shared" si="104"/>
        <v>0</v>
      </c>
      <c r="Q71" s="71">
        <f t="shared" si="104"/>
        <v>0</v>
      </c>
      <c r="R71" s="71">
        <f t="shared" si="104"/>
        <v>0</v>
      </c>
    </row>
    <row r="72" spans="2:18" x14ac:dyDescent="0.3">
      <c r="B72" s="1" t="s">
        <v>72</v>
      </c>
      <c r="E72" s="71">
        <f>178.098+609.331</f>
        <v>787.42900000000009</v>
      </c>
      <c r="F72" s="71">
        <f>-1390.266+163.262</f>
        <v>-1227.0040000000001</v>
      </c>
      <c r="G72" s="71">
        <f>-157+40</f>
        <v>-117</v>
      </c>
      <c r="H72" s="71">
        <f>-1620+433</f>
        <v>-1187</v>
      </c>
      <c r="I72" s="71">
        <f>-12952+6690</f>
        <v>-6262</v>
      </c>
      <c r="J72" s="71">
        <f>-1926+2280</f>
        <v>354</v>
      </c>
      <c r="K72" s="71">
        <f>-2044-170</f>
        <v>-2214</v>
      </c>
      <c r="L72" s="24">
        <f>K14-L14+L22-K22</f>
        <v>1453.8708696310405</v>
      </c>
      <c r="M72" s="24">
        <f>L14-M14+M22-L22</f>
        <v>-2520.3805755384583</v>
      </c>
      <c r="N72" s="24">
        <f t="shared" ref="N72:R72" si="105">M14-N14+N22-M22</f>
        <v>-4565.2445892331125</v>
      </c>
      <c r="O72" s="24">
        <f t="shared" si="105"/>
        <v>0</v>
      </c>
      <c r="P72" s="24">
        <f t="shared" si="105"/>
        <v>1285.1798968751318</v>
      </c>
      <c r="Q72" s="24">
        <f t="shared" si="105"/>
        <v>-288.45148796530702</v>
      </c>
      <c r="R72" s="24">
        <f t="shared" si="105"/>
        <v>-294.22051772461782</v>
      </c>
    </row>
    <row r="73" spans="2:18" x14ac:dyDescent="0.3">
      <c r="B73" s="1" t="s">
        <v>73</v>
      </c>
      <c r="E73" s="71"/>
      <c r="F73" s="71"/>
      <c r="G73" s="71"/>
      <c r="H73" s="71"/>
      <c r="I73" s="71">
        <v>161</v>
      </c>
      <c r="J73" s="71">
        <v>193</v>
      </c>
      <c r="K73" s="71">
        <v>96</v>
      </c>
      <c r="L73" s="24">
        <f>-L51</f>
        <v>0.4</v>
      </c>
      <c r="M73" s="24">
        <f>-M51</f>
        <v>0.32000000000000006</v>
      </c>
      <c r="N73" s="24">
        <f>-N51</f>
        <v>0.25600000000000001</v>
      </c>
      <c r="O73" s="24">
        <f>-O51</f>
        <v>0.20480000000000001</v>
      </c>
      <c r="P73" s="24">
        <f t="shared" ref="P73:R73" si="106">-P51</f>
        <v>0.16384000000000001</v>
      </c>
      <c r="Q73" s="24">
        <f t="shared" si="106"/>
        <v>0.13107200000000002</v>
      </c>
      <c r="R73" s="24">
        <f t="shared" si="106"/>
        <v>0.10485760000000002</v>
      </c>
    </row>
    <row r="74" spans="2:18" x14ac:dyDescent="0.3">
      <c r="B74" s="1" t="s">
        <v>74</v>
      </c>
      <c r="E74" s="71">
        <v>-236.905</v>
      </c>
      <c r="F74" s="71">
        <v>225.58600000000001</v>
      </c>
      <c r="G74" s="71">
        <v>0</v>
      </c>
      <c r="H74" s="71">
        <v>-3431</v>
      </c>
      <c r="I74" s="71">
        <v>-1923</v>
      </c>
      <c r="J74" s="71">
        <v>-833</v>
      </c>
      <c r="K74" s="71">
        <v>-354</v>
      </c>
      <c r="L74" s="24">
        <f>L56</f>
        <v>-360.26769982217667</v>
      </c>
      <c r="M74" s="24">
        <f>M56</f>
        <v>-1304.2659355253979</v>
      </c>
      <c r="N74" s="24">
        <f t="shared" ref="N74:R74" si="107">N56</f>
        <v>-2018.3871232700051</v>
      </c>
      <c r="O74" s="24">
        <f t="shared" si="107"/>
        <v>-2093.4619386294935</v>
      </c>
      <c r="P74" s="24">
        <f t="shared" si="107"/>
        <v>-1988.8003875973423</v>
      </c>
      <c r="Q74" s="24">
        <f t="shared" si="107"/>
        <v>-2045.8008463780407</v>
      </c>
      <c r="R74" s="24">
        <f t="shared" si="107"/>
        <v>-2101.113096600081</v>
      </c>
    </row>
    <row r="75" spans="2:18" x14ac:dyDescent="0.3">
      <c r="B75" s="1" t="s">
        <v>185</v>
      </c>
      <c r="E75" s="71">
        <f>-2.127+222.559-222.559</f>
        <v>-2.1270000000000095</v>
      </c>
      <c r="F75" s="71">
        <f>-1.515+379.542+437.387</f>
        <v>815.41399999999999</v>
      </c>
      <c r="G75" s="71">
        <f>-1+393</f>
        <v>392</v>
      </c>
      <c r="H75" s="71">
        <f>-89+445</f>
        <v>356</v>
      </c>
      <c r="I75" s="71"/>
      <c r="J75" s="71"/>
      <c r="K75" s="71"/>
      <c r="L75" s="24"/>
      <c r="M75" s="24"/>
      <c r="N75" s="24"/>
      <c r="O75" s="24"/>
      <c r="P75" s="24"/>
      <c r="Q75" s="24"/>
      <c r="R75" s="24"/>
    </row>
    <row r="76" spans="2:18" x14ac:dyDescent="0.3">
      <c r="B76" s="1" t="s">
        <v>137</v>
      </c>
      <c r="E76" s="71"/>
      <c r="F76" s="71"/>
      <c r="G76" s="71"/>
      <c r="H76" s="71"/>
      <c r="I76" s="71"/>
      <c r="J76" s="71"/>
      <c r="K76" s="71"/>
      <c r="L76" s="24">
        <f>J76*1.02</f>
        <v>0</v>
      </c>
      <c r="M76" s="24">
        <f>K76*1.02</f>
        <v>0</v>
      </c>
      <c r="N76" s="24">
        <f>M76*1.02</f>
        <v>0</v>
      </c>
      <c r="O76" s="24">
        <f>N76*1.02</f>
        <v>0</v>
      </c>
      <c r="P76" s="24">
        <f>O76*1.02</f>
        <v>0</v>
      </c>
      <c r="Q76" s="24">
        <f>P76*1.02</f>
        <v>0</v>
      </c>
      <c r="R76" s="24">
        <f>Q76*1.02</f>
        <v>0</v>
      </c>
    </row>
    <row r="77" spans="2:18" x14ac:dyDescent="0.3">
      <c r="B77" s="1" t="s">
        <v>70</v>
      </c>
      <c r="E77" s="71"/>
      <c r="F77" s="71"/>
      <c r="G77" s="71">
        <v>21</v>
      </c>
      <c r="H77" s="71">
        <f>-63</f>
        <v>-63</v>
      </c>
      <c r="I77" s="71">
        <f>1477-I71-I84-I73</f>
        <v>522</v>
      </c>
      <c r="J77" s="71">
        <f>-444-J71-J84-J73</f>
        <v>1103</v>
      </c>
      <c r="K77" s="71">
        <f>12723-K71-4275-K73</f>
        <v>268</v>
      </c>
      <c r="L77" s="24"/>
      <c r="M77" s="24"/>
      <c r="N77" s="24"/>
      <c r="O77" s="24"/>
      <c r="P77" s="24"/>
      <c r="Q77" s="24"/>
      <c r="R77" s="24"/>
    </row>
    <row r="78" spans="2:18" ht="15" thickBot="1" x14ac:dyDescent="0.35">
      <c r="B78" s="17" t="s">
        <v>63</v>
      </c>
      <c r="C78" s="17"/>
      <c r="D78" s="17"/>
      <c r="E78" s="72">
        <f t="shared" ref="E78:O78" si="108">SUM(E70:E77)</f>
        <v>-823.93599999999992</v>
      </c>
      <c r="F78" s="72">
        <f t="shared" ref="F78" si="109">SUM(F70:F77)</f>
        <v>-397.81800000000089</v>
      </c>
      <c r="G78" s="72">
        <f t="shared" si="108"/>
        <v>-390</v>
      </c>
      <c r="H78" s="72">
        <f t="shared" ref="H78:I78" si="110">SUM(H70:H77)</f>
        <v>-5769</v>
      </c>
      <c r="I78" s="72">
        <f t="shared" si="110"/>
        <v>-3916</v>
      </c>
      <c r="J78" s="72">
        <f t="shared" si="108"/>
        <v>125</v>
      </c>
      <c r="K78" s="72">
        <f t="shared" si="108"/>
        <v>419</v>
      </c>
      <c r="L78" s="26">
        <f t="shared" ref="L78" si="111">SUM(L70:L77)</f>
        <v>3417.0498713672537</v>
      </c>
      <c r="M78" s="26">
        <f t="shared" si="108"/>
        <v>2534.4292279196925</v>
      </c>
      <c r="N78" s="26">
        <f t="shared" si="108"/>
        <v>2879.638637561322</v>
      </c>
      <c r="O78" s="26">
        <f t="shared" si="108"/>
        <v>7868.5993140023938</v>
      </c>
      <c r="P78" s="26">
        <f t="shared" ref="P78:R78" si="112">SUM(P70:P77)</f>
        <v>8901.3437608699041</v>
      </c>
      <c r="Q78" s="26">
        <f t="shared" si="112"/>
        <v>7462.8112022806108</v>
      </c>
      <c r="R78" s="26">
        <f t="shared" si="112"/>
        <v>7597.6711930317406</v>
      </c>
    </row>
    <row r="79" spans="2:18" ht="15" thickTop="1" x14ac:dyDescent="0.3">
      <c r="B79" s="1" t="s">
        <v>75</v>
      </c>
      <c r="E79" s="71"/>
      <c r="F79" s="71"/>
      <c r="G79" s="71"/>
      <c r="H79" s="71">
        <v>493</v>
      </c>
      <c r="I79" s="71"/>
      <c r="J79" s="71"/>
      <c r="K79" s="71"/>
      <c r="L79" s="24"/>
      <c r="M79" s="24"/>
      <c r="N79" s="24"/>
      <c r="O79" s="24"/>
      <c r="P79" s="24"/>
      <c r="Q79" s="24"/>
      <c r="R79" s="24"/>
    </row>
    <row r="80" spans="2:18" x14ac:dyDescent="0.3">
      <c r="B80" s="1" t="s">
        <v>76</v>
      </c>
      <c r="E80" s="71"/>
      <c r="F80" s="71"/>
      <c r="G80" s="71"/>
      <c r="H80" s="71"/>
      <c r="I80" s="71"/>
      <c r="J80" s="71"/>
      <c r="K80" s="71"/>
      <c r="L80" s="24"/>
      <c r="M80" s="24"/>
      <c r="N80" s="24"/>
      <c r="O80" s="24"/>
      <c r="P80" s="24"/>
      <c r="Q80" s="24"/>
      <c r="R80" s="24"/>
    </row>
    <row r="81" spans="2:18" x14ac:dyDescent="0.3">
      <c r="B81" s="1" t="s">
        <v>138</v>
      </c>
      <c r="E81" s="71"/>
      <c r="F81" s="71"/>
      <c r="G81" s="71">
        <f>-6-447</f>
        <v>-453</v>
      </c>
      <c r="H81" s="71">
        <v>-50</v>
      </c>
      <c r="I81" s="71"/>
      <c r="J81" s="71"/>
      <c r="K81" s="71"/>
      <c r="L81" s="24">
        <f>-summary!L38</f>
        <v>0</v>
      </c>
      <c r="M81" s="24">
        <f>-summary!M38</f>
        <v>0</v>
      </c>
      <c r="N81" s="24">
        <f>-summary!N38</f>
        <v>0</v>
      </c>
      <c r="O81" s="24">
        <f>-summary!O38</f>
        <v>0</v>
      </c>
      <c r="P81" s="24">
        <f>-summary!P38</f>
        <v>0</v>
      </c>
      <c r="Q81" s="24">
        <f>-summary!Q38</f>
        <v>0</v>
      </c>
      <c r="R81" s="24">
        <f>-summary!R38</f>
        <v>0</v>
      </c>
    </row>
    <row r="82" spans="2:18" x14ac:dyDescent="0.3">
      <c r="B82" s="1" t="s">
        <v>77</v>
      </c>
      <c r="E82" s="71"/>
      <c r="F82" s="71"/>
      <c r="G82" s="71"/>
      <c r="H82" s="71"/>
      <c r="I82" s="71"/>
      <c r="J82" s="71"/>
      <c r="K82" s="71"/>
      <c r="L82" s="24"/>
      <c r="M82" s="24"/>
      <c r="N82" s="24"/>
      <c r="O82" s="24"/>
      <c r="P82" s="24"/>
      <c r="Q82" s="24"/>
      <c r="R82" s="24"/>
    </row>
    <row r="83" spans="2:18" x14ac:dyDescent="0.3">
      <c r="B83" s="1" t="s">
        <v>186</v>
      </c>
      <c r="E83" s="71">
        <v>-1035.307</v>
      </c>
      <c r="F83" s="71">
        <v>-1336.6279999999999</v>
      </c>
      <c r="G83" s="71">
        <v>-2447</v>
      </c>
      <c r="H83" s="71">
        <v>-4098</v>
      </c>
      <c r="I83" s="71">
        <v>-5887</v>
      </c>
      <c r="J83" s="71">
        <v>-6470</v>
      </c>
      <c r="K83" s="71">
        <v>-2803</v>
      </c>
      <c r="L83" s="24">
        <f>-summary!L31</f>
        <v>-5000</v>
      </c>
      <c r="M83" s="24">
        <f>-summary!M31</f>
        <v>-10000</v>
      </c>
      <c r="N83" s="24">
        <f>-summary!N31</f>
        <v>-12000</v>
      </c>
      <c r="O83" s="24">
        <f>-summary!O31</f>
        <v>-10000</v>
      </c>
      <c r="P83" s="24">
        <f>-summary!P31</f>
        <v>-10200</v>
      </c>
      <c r="Q83" s="24">
        <f>-summary!Q31</f>
        <v>-10404</v>
      </c>
      <c r="R83" s="24">
        <f>-summary!R31</f>
        <v>-10612.08</v>
      </c>
    </row>
    <row r="84" spans="2:18" x14ac:dyDescent="0.3">
      <c r="B84" s="1" t="s">
        <v>191</v>
      </c>
      <c r="E84" s="71">
        <v>222.49799999999999</v>
      </c>
      <c r="F84" s="71">
        <v>1392.0509999999999</v>
      </c>
      <c r="G84" s="71">
        <v>1387</v>
      </c>
      <c r="H84" s="71">
        <v>1599</v>
      </c>
      <c r="I84" s="71">
        <v>4199</v>
      </c>
      <c r="J84" s="71">
        <v>3460</v>
      </c>
      <c r="K84" s="71">
        <v>4275</v>
      </c>
      <c r="L84" s="24">
        <f>summary!L32</f>
        <v>3235</v>
      </c>
      <c r="M84" s="24">
        <f>summary!M32</f>
        <v>7803</v>
      </c>
      <c r="N84" s="24">
        <f>summary!N32</f>
        <v>10000</v>
      </c>
      <c r="O84" s="24">
        <f>summary!O32</f>
        <v>12000</v>
      </c>
      <c r="P84" s="24">
        <f>summary!P32</f>
        <v>10000</v>
      </c>
      <c r="Q84" s="24">
        <f>summary!Q32</f>
        <v>10200</v>
      </c>
      <c r="R84" s="24">
        <f>summary!R32</f>
        <v>10404</v>
      </c>
    </row>
    <row r="85" spans="2:18" x14ac:dyDescent="0.3">
      <c r="B85" s="1" t="s">
        <v>70</v>
      </c>
      <c r="E85" s="71">
        <v>2.1269999999999998</v>
      </c>
      <c r="F85" s="71">
        <v>1.5149999999999999</v>
      </c>
      <c r="G85" s="71">
        <v>1</v>
      </c>
      <c r="H85" s="71">
        <v>35</v>
      </c>
      <c r="I85" s="71">
        <v>6</v>
      </c>
      <c r="J85" s="71">
        <v>0</v>
      </c>
      <c r="K85" s="71">
        <v>2</v>
      </c>
      <c r="L85" s="24"/>
      <c r="M85" s="24"/>
      <c r="N85" s="24"/>
      <c r="O85" s="24"/>
      <c r="P85" s="24"/>
      <c r="Q85" s="24"/>
      <c r="R85" s="24"/>
    </row>
    <row r="86" spans="2:18" ht="15" thickBot="1" x14ac:dyDescent="0.35">
      <c r="B86" s="17" t="s">
        <v>64</v>
      </c>
      <c r="C86" s="17"/>
      <c r="D86" s="17"/>
      <c r="E86" s="72">
        <f t="shared" ref="E86:O86" si="113">SUM(E79:E85)</f>
        <v>-810.68200000000002</v>
      </c>
      <c r="F86" s="72">
        <f t="shared" ref="F86" si="114">SUM(F79:F85)</f>
        <v>56.938000000000002</v>
      </c>
      <c r="G86" s="72">
        <f t="shared" si="113"/>
        <v>-1512</v>
      </c>
      <c r="H86" s="72">
        <f t="shared" ref="H86:I86" si="115">SUM(H79:H85)</f>
        <v>-2021</v>
      </c>
      <c r="I86" s="72">
        <f t="shared" si="115"/>
        <v>-1682</v>
      </c>
      <c r="J86" s="72">
        <f t="shared" si="113"/>
        <v>-3010</v>
      </c>
      <c r="K86" s="72">
        <f t="shared" si="113"/>
        <v>1474</v>
      </c>
      <c r="L86" s="26">
        <f t="shared" ref="L86" si="116">SUM(L79:L85)</f>
        <v>-1765</v>
      </c>
      <c r="M86" s="26">
        <f t="shared" si="113"/>
        <v>-2197</v>
      </c>
      <c r="N86" s="26">
        <f t="shared" si="113"/>
        <v>-2000</v>
      </c>
      <c r="O86" s="26">
        <f t="shared" si="113"/>
        <v>2000</v>
      </c>
      <c r="P86" s="26">
        <f t="shared" ref="P86:R86" si="117">SUM(P79:P85)</f>
        <v>-200</v>
      </c>
      <c r="Q86" s="26">
        <f t="shared" si="117"/>
        <v>-204</v>
      </c>
      <c r="R86" s="26">
        <f t="shared" si="117"/>
        <v>-208.07999999999993</v>
      </c>
    </row>
    <row r="87" spans="2:18" ht="15" thickTop="1" x14ac:dyDescent="0.3">
      <c r="B87" s="1" t="s">
        <v>78</v>
      </c>
      <c r="E87" s="71">
        <v>0</v>
      </c>
      <c r="F87" s="71">
        <v>-816.92899999999997</v>
      </c>
      <c r="G87" s="71">
        <v>-220</v>
      </c>
      <c r="H87" s="71">
        <v>-164</v>
      </c>
      <c r="I87" s="71">
        <v>-240</v>
      </c>
      <c r="J87" s="71">
        <v>-703</v>
      </c>
      <c r="K87" s="71">
        <v>-193</v>
      </c>
      <c r="L87" s="24">
        <f>L53</f>
        <v>-426.90091302061802</v>
      </c>
      <c r="M87" s="24">
        <f>M53</f>
        <v>-1141.6919968819568</v>
      </c>
      <c r="N87" s="24">
        <f t="shared" ref="N87:R87" si="118">N53</f>
        <v>-1389.4658569844189</v>
      </c>
      <c r="O87" s="24">
        <f t="shared" si="118"/>
        <v>-1588.0086981139148</v>
      </c>
      <c r="P87" s="24">
        <f t="shared" si="118"/>
        <v>-1649.5988612027463</v>
      </c>
      <c r="Q87" s="24">
        <f t="shared" si="118"/>
        <v>-1613.7290791117955</v>
      </c>
      <c r="R87" s="24">
        <f t="shared" si="118"/>
        <v>-1588.4475633561165</v>
      </c>
    </row>
    <row r="88" spans="2:18" x14ac:dyDescent="0.3">
      <c r="B88" s="1" t="s">
        <v>79</v>
      </c>
      <c r="E88" s="71">
        <f>1030</f>
        <v>1030</v>
      </c>
      <c r="F88" s="71">
        <f>-3050-230+8870.588</f>
        <v>5590.5879999999997</v>
      </c>
      <c r="G88" s="71">
        <f>-9500-189</f>
        <v>-9689</v>
      </c>
      <c r="H88" s="71">
        <f>-500+8000</f>
        <v>7500</v>
      </c>
      <c r="I88" s="71">
        <f>0-153+581</f>
        <v>428</v>
      </c>
      <c r="J88" s="71">
        <f>5500-194</f>
        <v>5306</v>
      </c>
      <c r="K88" s="71">
        <f>-3500-97</f>
        <v>-3597</v>
      </c>
      <c r="L88" s="24">
        <f>L26-K26</f>
        <v>5335.5176000361989</v>
      </c>
      <c r="M88" s="24">
        <f>M26-L26</f>
        <v>3094.648456793102</v>
      </c>
      <c r="N88" s="24">
        <f t="shared" ref="N88:R88" si="119">N26-M26</f>
        <v>4160.8086472321484</v>
      </c>
      <c r="O88" s="24">
        <f t="shared" si="119"/>
        <v>1653.037359488073</v>
      </c>
      <c r="P88" s="24">
        <f t="shared" si="119"/>
        <v>150.48132539718426</v>
      </c>
      <c r="Q88" s="24">
        <f t="shared" si="119"/>
        <v>-1200.8409766695331</v>
      </c>
      <c r="R88" s="24">
        <f t="shared" si="119"/>
        <v>460.53304824554652</v>
      </c>
    </row>
    <row r="89" spans="2:18" x14ac:dyDescent="0.3">
      <c r="B89" s="1" t="s">
        <v>80</v>
      </c>
      <c r="E89" s="71"/>
      <c r="F89" s="71"/>
      <c r="G89" s="71"/>
      <c r="H89" s="71"/>
      <c r="I89" s="71"/>
      <c r="J89" s="71"/>
      <c r="K89" s="71"/>
      <c r="L89" s="24"/>
      <c r="M89" s="24"/>
      <c r="N89" s="24"/>
      <c r="O89" s="24"/>
      <c r="P89" s="24"/>
      <c r="Q89" s="24"/>
      <c r="R89" s="24"/>
    </row>
    <row r="90" spans="2:18" x14ac:dyDescent="0.3">
      <c r="B90" s="1" t="s">
        <v>81</v>
      </c>
      <c r="E90" s="71"/>
      <c r="F90" s="71"/>
      <c r="G90" s="71"/>
      <c r="H90" s="71"/>
      <c r="I90" s="71"/>
      <c r="J90" s="71"/>
      <c r="K90" s="71"/>
      <c r="L90" s="24">
        <f>-L$57*summary!L$36*summary!L$37</f>
        <v>0</v>
      </c>
      <c r="M90" s="24">
        <f>-M$57*summary!M$36*summary!M$37</f>
        <v>0</v>
      </c>
      <c r="N90" s="24">
        <f>-N$57*summary!N$36*summary!N$37</f>
        <v>0</v>
      </c>
      <c r="O90" s="24">
        <f>-O$57*summary!O$36*summary!O$37</f>
        <v>0</v>
      </c>
      <c r="P90" s="24">
        <f>-P$57*summary!P$36*summary!P$37</f>
        <v>0</v>
      </c>
      <c r="Q90" s="24">
        <f>-Q$57*summary!Q$36*summary!Q$37</f>
        <v>0</v>
      </c>
      <c r="R90" s="24">
        <f>-R$57*summary!R$36*summary!R$37</f>
        <v>0</v>
      </c>
    </row>
    <row r="91" spans="2:18" x14ac:dyDescent="0.3">
      <c r="B91" s="1" t="s">
        <v>82</v>
      </c>
      <c r="E91" s="71">
        <v>-624.99900000000002</v>
      </c>
      <c r="F91" s="71">
        <v>0</v>
      </c>
      <c r="G91" s="71">
        <v>0</v>
      </c>
      <c r="H91" s="71">
        <v>-867</v>
      </c>
      <c r="I91" s="71">
        <v>-1817</v>
      </c>
      <c r="J91" s="71">
        <v>-606</v>
      </c>
      <c r="K91" s="71">
        <v>0</v>
      </c>
      <c r="L91" s="24">
        <f>-L$57*summary!L$36*(1-summary!L$37)</f>
        <v>0</v>
      </c>
      <c r="M91" s="24">
        <f>-M$57*summary!M$36*(1-summary!M$37)</f>
        <v>0</v>
      </c>
      <c r="N91" s="24">
        <f>-N$57*summary!N$36*(1-summary!N$37)</f>
        <v>0</v>
      </c>
      <c r="O91" s="24">
        <f>-O$57*summary!O$36*(1-summary!O$37)</f>
        <v>0</v>
      </c>
      <c r="P91" s="24">
        <f>-P$57*summary!P$36*(1-summary!P$37)</f>
        <v>0</v>
      </c>
      <c r="Q91" s="24">
        <f>-Q$57*summary!Q$36*(1-summary!Q$37)</f>
        <v>0</v>
      </c>
      <c r="R91" s="24">
        <f>-R$57*summary!R$36*(1-summary!R$37)</f>
        <v>0</v>
      </c>
    </row>
    <row r="92" spans="2:18" x14ac:dyDescent="0.3">
      <c r="B92" s="1" t="s">
        <v>139</v>
      </c>
      <c r="E92" s="71"/>
      <c r="F92" s="71"/>
      <c r="G92" s="71"/>
      <c r="H92" s="71"/>
      <c r="I92" s="71"/>
      <c r="J92" s="71"/>
      <c r="K92" s="71"/>
      <c r="L92" s="24">
        <f>3.75%*-K37</f>
        <v>0</v>
      </c>
      <c r="M92" s="24">
        <f>3.75%*-L37</f>
        <v>0</v>
      </c>
      <c r="N92" s="24">
        <f>M92</f>
        <v>0</v>
      </c>
      <c r="O92" s="24">
        <f>N92</f>
        <v>0</v>
      </c>
      <c r="P92" s="24">
        <f>O92</f>
        <v>0</v>
      </c>
      <c r="Q92" s="24">
        <f>P92</f>
        <v>0</v>
      </c>
      <c r="R92" s="24">
        <f>Q92</f>
        <v>0</v>
      </c>
    </row>
    <row r="93" spans="2:18" x14ac:dyDescent="0.3">
      <c r="B93" s="1" t="s">
        <v>187</v>
      </c>
      <c r="E93" s="71">
        <v>5.8</v>
      </c>
      <c r="F93" s="71">
        <v>1.3</v>
      </c>
      <c r="G93" s="71">
        <v>15569</v>
      </c>
      <c r="H93" s="71">
        <v>0</v>
      </c>
      <c r="I93" s="71"/>
      <c r="J93" s="71"/>
      <c r="K93" s="71"/>
      <c r="L93" s="24"/>
      <c r="M93" s="24"/>
      <c r="N93" s="24"/>
      <c r="O93" s="24"/>
      <c r="P93" s="24"/>
      <c r="Q93" s="24"/>
      <c r="R93" s="24"/>
    </row>
    <row r="94" spans="2:18" x14ac:dyDescent="0.3">
      <c r="B94" s="1" t="s">
        <v>70</v>
      </c>
      <c r="E94" s="71"/>
      <c r="F94" s="71"/>
      <c r="G94" s="71"/>
      <c r="H94" s="71"/>
      <c r="I94" s="71"/>
      <c r="J94" s="71"/>
      <c r="K94" s="71"/>
      <c r="L94" s="24"/>
      <c r="M94" s="24"/>
      <c r="N94" s="24"/>
      <c r="O94" s="24"/>
      <c r="P94" s="24"/>
      <c r="Q94" s="24"/>
      <c r="R94" s="24"/>
    </row>
    <row r="95" spans="2:18" ht="15" thickBot="1" x14ac:dyDescent="0.35">
      <c r="B95" s="17" t="s">
        <v>65</v>
      </c>
      <c r="C95" s="17"/>
      <c r="D95" s="17"/>
      <c r="E95" s="72">
        <f t="shared" ref="E95:O95" si="120">SUM(E87:E94)</f>
        <v>410.80099999999999</v>
      </c>
      <c r="F95" s="72">
        <f t="shared" ref="F95" si="121">SUM(F87:F94)</f>
        <v>4774.9589999999998</v>
      </c>
      <c r="G95" s="72">
        <f t="shared" si="120"/>
        <v>5660</v>
      </c>
      <c r="H95" s="72">
        <f t="shared" ref="H95:I95" si="122">SUM(H87:H94)</f>
        <v>6469</v>
      </c>
      <c r="I95" s="72">
        <f t="shared" si="122"/>
        <v>-1629</v>
      </c>
      <c r="J95" s="72">
        <f t="shared" si="120"/>
        <v>3997</v>
      </c>
      <c r="K95" s="72">
        <f t="shared" si="120"/>
        <v>-3790</v>
      </c>
      <c r="L95" s="26">
        <f t="shared" ref="L95" si="123">SUM(L87:L94)</f>
        <v>4908.6166870155812</v>
      </c>
      <c r="M95" s="26">
        <f t="shared" si="120"/>
        <v>1952.9564599111452</v>
      </c>
      <c r="N95" s="26">
        <f t="shared" si="120"/>
        <v>2771.3427902477297</v>
      </c>
      <c r="O95" s="26">
        <f t="shared" si="120"/>
        <v>65.028661374158219</v>
      </c>
      <c r="P95" s="26">
        <f t="shared" ref="P95:R95" si="124">SUM(P87:P94)</f>
        <v>-1499.1175358055621</v>
      </c>
      <c r="Q95" s="26">
        <f t="shared" si="124"/>
        <v>-2814.5700557813288</v>
      </c>
      <c r="R95" s="26">
        <f t="shared" si="124"/>
        <v>-1127.9145151105699</v>
      </c>
    </row>
    <row r="96" spans="2:18" ht="15" thickTop="1" x14ac:dyDescent="0.3">
      <c r="E96" s="71"/>
      <c r="F96" s="71"/>
      <c r="G96" s="71"/>
      <c r="H96" s="71"/>
      <c r="I96" s="71"/>
      <c r="J96" s="71"/>
      <c r="K96" s="71"/>
      <c r="L96" s="24"/>
      <c r="M96" s="24"/>
      <c r="N96" s="24"/>
      <c r="O96" s="24"/>
      <c r="P96" s="24"/>
      <c r="Q96" s="24"/>
      <c r="R96" s="24"/>
    </row>
    <row r="97" spans="2:18" ht="15" thickBot="1" x14ac:dyDescent="0.35">
      <c r="B97" s="17" t="s">
        <v>66</v>
      </c>
      <c r="C97" s="17"/>
      <c r="D97" s="17"/>
      <c r="E97" s="72">
        <v>2724.1559999999999</v>
      </c>
      <c r="F97" s="72">
        <f t="shared" ref="F97:I97" si="125">E101</f>
        <v>1500.3389999999999</v>
      </c>
      <c r="G97" s="72">
        <f>ROUND(F101,0)</f>
        <v>5934</v>
      </c>
      <c r="H97" s="72">
        <f t="shared" si="125"/>
        <v>9692</v>
      </c>
      <c r="I97" s="72">
        <f t="shared" si="125"/>
        <v>8371</v>
      </c>
      <c r="J97" s="72">
        <f>I101</f>
        <v>1144</v>
      </c>
      <c r="K97" s="72">
        <f t="shared" ref="K97:N97" si="126">J101</f>
        <v>2256</v>
      </c>
      <c r="L97" s="26">
        <f t="shared" si="126"/>
        <v>359</v>
      </c>
      <c r="M97" s="26">
        <f t="shared" si="126"/>
        <v>6919.6665583828344</v>
      </c>
      <c r="N97" s="26">
        <f t="shared" si="126"/>
        <v>9210.0522462136723</v>
      </c>
      <c r="O97" s="26">
        <f>N101</f>
        <v>12861.033674022725</v>
      </c>
      <c r="P97" s="26">
        <f t="shared" ref="P97:R97" si="127">O101</f>
        <v>22794.661649399277</v>
      </c>
      <c r="Q97" s="26">
        <f t="shared" si="127"/>
        <v>29996.887874463617</v>
      </c>
      <c r="R97" s="26">
        <f t="shared" si="127"/>
        <v>34441.129020962901</v>
      </c>
    </row>
    <row r="98" spans="2:18" ht="15" thickTop="1" x14ac:dyDescent="0.3">
      <c r="B98" s="1" t="s">
        <v>69</v>
      </c>
      <c r="E98" s="71">
        <f>SUM(E95,E86,E78)</f>
        <v>-1223.817</v>
      </c>
      <c r="F98" s="71">
        <f>SUM(F95,F86,F78)</f>
        <v>4434.0789999999988</v>
      </c>
      <c r="G98" s="71">
        <f>SUM(G95,G86,G78)</f>
        <v>3758</v>
      </c>
      <c r="H98" s="71">
        <f>SUM(H95,H86,H78)</f>
        <v>-1321</v>
      </c>
      <c r="I98" s="71">
        <f t="shared" ref="I98" si="128">SUM(I95,I86,I78)</f>
        <v>-7227</v>
      </c>
      <c r="J98" s="71">
        <f>SUM(J95,J86,J78)</f>
        <v>1112</v>
      </c>
      <c r="K98" s="71">
        <f t="shared" ref="K98:O98" si="129">SUM(K95,K86,K78)</f>
        <v>-1897</v>
      </c>
      <c r="L98" s="24">
        <f>SUM(L95,L86,L78)</f>
        <v>6560.6665583828344</v>
      </c>
      <c r="M98" s="24">
        <f>SUM(M95,M86,M78)</f>
        <v>2290.3856878308379</v>
      </c>
      <c r="N98" s="24">
        <f>SUM(N95,N86,N78)</f>
        <v>3650.9814278090516</v>
      </c>
      <c r="O98" s="24">
        <f t="shared" si="129"/>
        <v>9933.6279753765521</v>
      </c>
      <c r="P98" s="24">
        <f t="shared" ref="P98:R98" si="130">SUM(P95,P86,P78)</f>
        <v>7202.2262250643416</v>
      </c>
      <c r="Q98" s="24">
        <f t="shared" si="130"/>
        <v>4444.241146499282</v>
      </c>
      <c r="R98" s="24">
        <f t="shared" si="130"/>
        <v>6261.6766779211703</v>
      </c>
    </row>
    <row r="99" spans="2:18" x14ac:dyDescent="0.3">
      <c r="B99" s="1" t="s">
        <v>68</v>
      </c>
      <c r="E99" s="71">
        <v>0</v>
      </c>
      <c r="F99" s="71">
        <v>0</v>
      </c>
      <c r="G99" s="71">
        <v>0</v>
      </c>
      <c r="H99" s="71">
        <v>0</v>
      </c>
      <c r="I99" s="71">
        <v>0</v>
      </c>
      <c r="J99" s="71"/>
      <c r="K99" s="71"/>
      <c r="L99" s="24"/>
      <c r="M99" s="24"/>
      <c r="N99" s="24"/>
      <c r="O99" s="24"/>
      <c r="P99" s="24"/>
      <c r="Q99" s="24"/>
      <c r="R99" s="24"/>
    </row>
    <row r="100" spans="2:18" x14ac:dyDescent="0.3">
      <c r="B100" s="1" t="s">
        <v>70</v>
      </c>
      <c r="E100" s="71"/>
      <c r="F100" s="71"/>
      <c r="G100" s="71"/>
      <c r="H100" s="71"/>
      <c r="I100" s="71"/>
      <c r="J100" s="71"/>
      <c r="K100" s="71"/>
      <c r="L100" s="24"/>
      <c r="M100" s="24"/>
      <c r="N100" s="24"/>
      <c r="O100" s="24"/>
      <c r="P100" s="24"/>
      <c r="Q100" s="24"/>
      <c r="R100" s="24"/>
    </row>
    <row r="101" spans="2:18" ht="15" thickBot="1" x14ac:dyDescent="0.35">
      <c r="B101" s="17" t="s">
        <v>67</v>
      </c>
      <c r="C101" s="17"/>
      <c r="D101" s="17"/>
      <c r="E101" s="72">
        <f t="shared" ref="E101:O101" si="131">SUM(E97:E100)</f>
        <v>1500.3389999999999</v>
      </c>
      <c r="F101" s="72">
        <f t="shared" si="131"/>
        <v>5934.4179999999988</v>
      </c>
      <c r="G101" s="72">
        <f t="shared" si="131"/>
        <v>9692</v>
      </c>
      <c r="H101" s="72">
        <f t="shared" ref="H101" si="132">SUM(H97:H100)</f>
        <v>8371</v>
      </c>
      <c r="I101" s="72">
        <f t="shared" si="131"/>
        <v>1144</v>
      </c>
      <c r="J101" s="72">
        <f t="shared" si="131"/>
        <v>2256</v>
      </c>
      <c r="K101" s="72">
        <f t="shared" si="131"/>
        <v>359</v>
      </c>
      <c r="L101" s="26">
        <f t="shared" ref="L101" si="133">SUM(L97:L100)</f>
        <v>6919.6665583828344</v>
      </c>
      <c r="M101" s="26">
        <f>SUM(M97:M100)</f>
        <v>9210.0522462136723</v>
      </c>
      <c r="N101" s="26">
        <f t="shared" si="131"/>
        <v>12861.033674022725</v>
      </c>
      <c r="O101" s="26">
        <f t="shared" si="131"/>
        <v>22794.661649399277</v>
      </c>
      <c r="P101" s="26">
        <f t="shared" ref="P101:R101" si="134">SUM(P97:P100)</f>
        <v>29996.887874463617</v>
      </c>
      <c r="Q101" s="26">
        <f t="shared" si="134"/>
        <v>34441.129020962901</v>
      </c>
      <c r="R101" s="26">
        <f t="shared" si="134"/>
        <v>40702.805698884069</v>
      </c>
    </row>
    <row r="102" spans="2:18" ht="15" thickTop="1" x14ac:dyDescent="0.3"/>
    <row r="103" spans="2:18" x14ac:dyDescent="0.3">
      <c r="B103" s="21" t="s">
        <v>54</v>
      </c>
      <c r="E103" s="29">
        <f>E12</f>
        <v>1500.3389999999999</v>
      </c>
      <c r="F103" s="29">
        <f>F12</f>
        <v>5934.4179999999997</v>
      </c>
      <c r="G103" s="29">
        <f>G12</f>
        <v>9692</v>
      </c>
      <c r="H103" s="29">
        <f>H12</f>
        <v>8371</v>
      </c>
      <c r="I103" s="29">
        <f t="shared" ref="I103:K103" si="135">I12</f>
        <v>1144</v>
      </c>
      <c r="J103" s="29">
        <f t="shared" si="135"/>
        <v>2256</v>
      </c>
      <c r="K103" s="29">
        <f t="shared" si="135"/>
        <v>359</v>
      </c>
      <c r="L103" s="29">
        <f t="shared" ref="L103:R103" si="136">L12</f>
        <v>6919.6665583828344</v>
      </c>
      <c r="M103" s="29">
        <f t="shared" si="136"/>
        <v>9210.0522462136723</v>
      </c>
      <c r="N103" s="29">
        <f t="shared" si="136"/>
        <v>12861.033674022725</v>
      </c>
      <c r="O103" s="29">
        <f t="shared" si="136"/>
        <v>22794.661649399277</v>
      </c>
      <c r="P103" s="29">
        <f t="shared" si="136"/>
        <v>29996.887874463617</v>
      </c>
      <c r="Q103" s="29">
        <f t="shared" si="136"/>
        <v>34441.129020962901</v>
      </c>
      <c r="R103" s="29">
        <f t="shared" si="136"/>
        <v>40702.805698884069</v>
      </c>
    </row>
    <row r="104" spans="2:18" x14ac:dyDescent="0.3">
      <c r="B104" s="21" t="s">
        <v>36</v>
      </c>
      <c r="E104" s="23">
        <f t="shared" ref="E104:K104" si="137">E103-E101</f>
        <v>0</v>
      </c>
      <c r="F104" s="23">
        <f t="shared" si="137"/>
        <v>0</v>
      </c>
      <c r="G104" s="23">
        <f t="shared" si="137"/>
        <v>0</v>
      </c>
      <c r="H104" s="23">
        <f t="shared" si="137"/>
        <v>0</v>
      </c>
      <c r="I104" s="23">
        <f t="shared" si="137"/>
        <v>0</v>
      </c>
      <c r="J104" s="23">
        <f t="shared" si="137"/>
        <v>0</v>
      </c>
      <c r="K104" s="23">
        <f t="shared" si="137"/>
        <v>0</v>
      </c>
      <c r="L104" s="23">
        <f t="shared" ref="L104" si="138">L103-L101</f>
        <v>0</v>
      </c>
      <c r="M104" s="23">
        <f t="shared" ref="M104:R104" si="139">M103-M101</f>
        <v>0</v>
      </c>
      <c r="N104" s="23">
        <f t="shared" si="139"/>
        <v>0</v>
      </c>
      <c r="O104" s="23">
        <f t="shared" si="139"/>
        <v>0</v>
      </c>
      <c r="P104" s="23">
        <f t="shared" si="139"/>
        <v>0</v>
      </c>
      <c r="Q104" s="23">
        <f t="shared" si="139"/>
        <v>0</v>
      </c>
      <c r="R104" s="23">
        <f t="shared" si="139"/>
        <v>0</v>
      </c>
    </row>
  </sheetData>
  <sheetProtection algorithmName="SHA-512" hashValue="oebBmw5zMlkj1FcwRCouM2f/PaTlK73ToHqGEDq35jl2rgS10QZxlEWKGvUhwbAw5dIVJ5a9QwpDwWMtbRSKHw==" saltValue="FJsB8yl+KMchkLY67NNDmQ==" spinCount="100000" sheet="1" formatCells="0" formatColumns="0" formatRows="0" insertColumns="0" insertRows="0" insertHyperlinks="0" deleteColumns="0" deleteRows="0" selectLockedCells="1" sort="0" autoFilter="0" pivotTables="0"/>
  <conditionalFormatting sqref="E40:R40 E66:R66">
    <cfRule type="cellIs" dxfId="4" priority="46" operator="equal">
      <formula>0</formula>
    </cfRule>
  </conditionalFormatting>
  <conditionalFormatting sqref="E104:R104">
    <cfRule type="cellIs" dxfId="3" priority="36" operator="equal">
      <formula>0</formula>
    </cfRule>
  </conditionalFormatting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7" id="{FD2E710A-171D-47AC-95F6-04A30387347E}">
            <xm:f>D$6&gt;cover!$E$13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D69 E12:R19 E22:R27 E32:R34 E36:R37 E51:R51 E53:R54 E56:R56 E59:R60 E62:R63 E70:R77 E79:R85 E87:R94 E98:R100 E48:R49 E44:R46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ED5BE-0D9E-4093-8F12-2222BD290101}">
  <dimension ref="A1:P10"/>
  <sheetViews>
    <sheetView workbookViewId="0">
      <selection activeCell="B3" sqref="B3"/>
    </sheetView>
  </sheetViews>
  <sheetFormatPr defaultColWidth="9.109375" defaultRowHeight="14.4" x14ac:dyDescent="0.3"/>
  <cols>
    <col min="1" max="1" width="2.6640625" style="1" customWidth="1"/>
    <col min="2" max="5" width="12.6640625" style="1" customWidth="1"/>
    <col min="6" max="6" width="12.6640625" style="8" customWidth="1"/>
    <col min="7" max="52" width="12.6640625" style="1" customWidth="1"/>
    <col min="53" max="16384" width="9.109375" style="1"/>
  </cols>
  <sheetData>
    <row r="1" spans="1:16" ht="33.6" x14ac:dyDescent="0.65">
      <c r="B1" s="86" t="s">
        <v>174</v>
      </c>
    </row>
    <row r="2" spans="1:16" s="15" customFormat="1" ht="15" thickBot="1" x14ac:dyDescent="0.35">
      <c r="A2" s="13"/>
      <c r="B2" s="14" t="str">
        <f>UPPER(cover!E8&amp;" - "&amp;DAY(cover!E12)&amp;"/"&amp;MONTH(cover!E12)&amp;"/"&amp;YEAR(cover!E12))</f>
        <v>MANOLETE PARTNERS PLC - 24/3/2023</v>
      </c>
      <c r="F2" s="13"/>
    </row>
    <row r="3" spans="1:16" ht="15" thickTop="1" x14ac:dyDescent="0.3">
      <c r="B3" s="25" t="str">
        <f>IF($E$10&lt;&gt;0,"**ERROR**","")</f>
        <v/>
      </c>
    </row>
    <row r="4" spans="1:16" s="3" customFormat="1" x14ac:dyDescent="0.3">
      <c r="A4" s="5"/>
      <c r="B4" s="2" t="s">
        <v>37</v>
      </c>
      <c r="F4" s="4"/>
    </row>
    <row r="6" spans="1:16" x14ac:dyDescent="0.3">
      <c r="B6" s="1" t="s">
        <v>38</v>
      </c>
      <c r="E6" s="23">
        <f>SUM('detailed-financials'!E40:O40)</f>
        <v>0</v>
      </c>
      <c r="F6" s="20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x14ac:dyDescent="0.3">
      <c r="B7" s="1" t="s">
        <v>39</v>
      </c>
      <c r="E7" s="23">
        <f>SUM('detailed-financials'!E66:O66)</f>
        <v>0</v>
      </c>
      <c r="F7" s="20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x14ac:dyDescent="0.3">
      <c r="B8" s="1" t="s">
        <v>40</v>
      </c>
      <c r="E8" s="23">
        <f>SUM('detailed-financials'!E104:O104)</f>
        <v>0</v>
      </c>
      <c r="F8" s="20"/>
      <c r="G8" s="19"/>
      <c r="H8" s="19"/>
      <c r="I8" s="19"/>
      <c r="J8" s="19"/>
      <c r="K8" s="19"/>
      <c r="L8" s="19"/>
      <c r="M8" s="19"/>
      <c r="N8" s="19"/>
      <c r="O8" s="19"/>
      <c r="P8" s="19"/>
    </row>
    <row r="10" spans="1:16" x14ac:dyDescent="0.3">
      <c r="B10" s="21" t="s">
        <v>36</v>
      </c>
      <c r="E10" s="23">
        <f>SUM(E6:E8)</f>
        <v>0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</sheetData>
  <sheetProtection algorithmName="SHA-512" hashValue="jf/HwrlHLUHX2BY4NCw4/gNfDy16EthzR49urek2kO+negPrYeiZIjMIwMBLGqbK7o8Myeh/O+94cNTigT+IQQ==" saltValue="NUv8/fYW+2SV+AhJV5EudQ==" spinCount="100000" sheet="1" formatCells="0" formatColumns="0" formatRows="0" insertColumns="0" insertRows="0" insertHyperlinks="0" deleteColumns="0" deleteRows="0" selectLockedCells="1" sort="0" autoFilter="0" pivotTables="0"/>
  <conditionalFormatting sqref="E6:E8">
    <cfRule type="cellIs" dxfId="2" priority="2" operator="equal">
      <formula>0</formula>
    </cfRule>
  </conditionalFormatting>
  <conditionalFormatting sqref="E10">
    <cfRule type="cellIs" dxfId="1" priority="1" operator="equal">
      <formula>0</formula>
    </cfRule>
  </conditionalFormatting>
  <conditionalFormatting sqref="F10:P10">
    <cfRule type="cellIs" dxfId="0" priority="3" operator="notEqual">
      <formula>"OK"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summary</vt:lpstr>
      <vt:lpstr>WACC</vt:lpstr>
      <vt:lpstr>detailed-financials</vt:lpstr>
      <vt:lpstr>checks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2022-10-29T12:00:07Z</dcterms:created>
  <dcterms:modified xsi:type="dcterms:W3CDTF">2023-03-24T17:36:58Z</dcterms:modified>
</cp:coreProperties>
</file>