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oss\Documents\Tim M\PF\TUNE\"/>
    </mc:Choice>
  </mc:AlternateContent>
  <xr:revisionPtr revIDLastSave="0" documentId="13_ncr:1_{3EF65E88-C38F-496A-AB70-305299180E06}" xr6:coauthVersionLast="47" xr6:coauthVersionMax="47" xr10:uidLastSave="{00000000-0000-0000-0000-000000000000}"/>
  <workbookProtection workbookAlgorithmName="SHA-512" workbookHashValue="pyYWMAM7nfmo7PjPf8Yu1OsLBmD69ao7SF/n4t5F5zF0D36zBk+pXb/6zUKSSS4tTWNSf2XjQrWXo1lIXdtkjA==" workbookSaltValue="QR4YXz04TS+/vN2tvqCulw==" workbookSpinCount="100000" lockStructure="1"/>
  <bookViews>
    <workbookView xWindow="-108" yWindow="-108" windowWidth="23256" windowHeight="12456" firstSheet="1" activeTab="1" xr2:uid="{4464965C-57E2-470B-B959-64ECF7EB36CC}"/>
  </bookViews>
  <sheets>
    <sheet name="cover" sheetId="1" state="hidden" r:id="rId1"/>
    <sheet name="summary" sheetId="11" r:id="rId2"/>
    <sheet name="WACC" sheetId="12" r:id="rId3"/>
    <sheet name="detailed-financials" sheetId="4" r:id="rId4"/>
    <sheet name="checks" sheetId="6" r:id="rId5"/>
    <sheet name="sources&gt;&gt;&gt;" sheetId="13" r:id="rId6"/>
    <sheet name="forecasts" sheetId="14" r:id="rId7"/>
    <sheet name="p&amp;l" sheetId="17" r:id="rId8"/>
    <sheet name="bs" sheetId="16" r:id="rId9"/>
    <sheet name="cf" sheetId="15" r:id="rId10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6" i="11" l="1"/>
  <c r="R23" i="11"/>
  <c r="P30" i="11"/>
  <c r="O30" i="11"/>
  <c r="N30" i="11"/>
  <c r="M30" i="11"/>
  <c r="L30" i="11"/>
  <c r="K30" i="11"/>
  <c r="J30" i="11"/>
  <c r="I30" i="11"/>
  <c r="H30" i="11"/>
  <c r="G30" i="11"/>
  <c r="F30" i="11"/>
  <c r="P34" i="11"/>
  <c r="Q34" i="11" s="1"/>
  <c r="P19" i="11"/>
  <c r="P20" i="11"/>
  <c r="P35" i="11"/>
  <c r="P37" i="11"/>
  <c r="P38" i="11"/>
  <c r="P54" i="4"/>
  <c r="P57" i="4"/>
  <c r="P49" i="11" s="1"/>
  <c r="P90" i="4"/>
  <c r="P30" i="4" l="1"/>
  <c r="P83" i="4"/>
  <c r="P63" i="4"/>
  <c r="P55" i="4"/>
  <c r="P47" i="11" s="1"/>
  <c r="P65" i="4"/>
  <c r="P16" i="4"/>
  <c r="P78" i="4"/>
  <c r="P86" i="4"/>
  <c r="P31" i="4"/>
  <c r="P15" i="4"/>
  <c r="P17" i="4"/>
  <c r="P36" i="4"/>
  <c r="P50" i="4"/>
  <c r="P58" i="4"/>
  <c r="P60" i="11" s="1"/>
  <c r="P68" i="4"/>
  <c r="P79" i="4"/>
  <c r="P87" i="4"/>
  <c r="P96" i="4"/>
  <c r="P21" i="4"/>
  <c r="P14" i="4"/>
  <c r="P41" i="4"/>
  <c r="P92" i="4"/>
  <c r="P85" i="4"/>
  <c r="P25" i="4"/>
  <c r="P18" i="4"/>
  <c r="P27" i="4"/>
  <c r="P37" i="4"/>
  <c r="P51" i="4"/>
  <c r="P80" i="4"/>
  <c r="P88" i="4"/>
  <c r="P94" i="4"/>
  <c r="P26" i="4"/>
  <c r="P19" i="4"/>
  <c r="P28" i="4"/>
  <c r="P38" i="4"/>
  <c r="P60" i="4"/>
  <c r="P81" i="4"/>
  <c r="P89" i="4"/>
  <c r="P99" i="4"/>
  <c r="P7" i="4"/>
  <c r="P12" i="4"/>
  <c r="P20" i="4"/>
  <c r="P29" i="4"/>
  <c r="P39" i="4"/>
  <c r="P74" i="4"/>
  <c r="P82" i="4"/>
  <c r="E55" i="4"/>
  <c r="E57" i="4"/>
  <c r="E30" i="4"/>
  <c r="F6" i="4"/>
  <c r="E11" i="1"/>
  <c r="E12" i="1" s="1"/>
  <c r="L12" i="11"/>
  <c r="L11" i="11"/>
  <c r="L10" i="11"/>
  <c r="I11" i="12" s="1"/>
  <c r="E14" i="1"/>
  <c r="E56" i="4" l="1"/>
  <c r="P43" i="11"/>
  <c r="P50" i="11" s="1"/>
  <c r="P32" i="11"/>
  <c r="P76" i="4"/>
  <c r="P84" i="4"/>
  <c r="P52" i="4"/>
  <c r="P95" i="4"/>
  <c r="P97" i="4" s="1"/>
  <c r="P100" i="4" s="1"/>
  <c r="P91" i="4"/>
  <c r="P73" i="4"/>
  <c r="P59" i="4"/>
  <c r="P61" i="4" s="1"/>
  <c r="P56" i="4"/>
  <c r="P22" i="4"/>
  <c r="P34" i="4" s="1"/>
  <c r="P46" i="4" s="1"/>
  <c r="P13" i="4"/>
  <c r="P53" i="4"/>
  <c r="P44" i="4"/>
  <c r="P40" i="4"/>
  <c r="P32" i="4"/>
  <c r="P24" i="4"/>
  <c r="G6" i="4"/>
  <c r="F30" i="4"/>
  <c r="F55" i="4"/>
  <c r="G51" i="4"/>
  <c r="F51" i="4"/>
  <c r="E51" i="4"/>
  <c r="F57" i="4"/>
  <c r="I10" i="12"/>
  <c r="E94" i="4"/>
  <c r="E92" i="4"/>
  <c r="E15" i="4"/>
  <c r="B63" i="11"/>
  <c r="D11" i="11"/>
  <c r="E65" i="11" s="1"/>
  <c r="D12" i="11"/>
  <c r="P9" i="11"/>
  <c r="I17" i="12"/>
  <c r="I16" i="12"/>
  <c r="I15" i="12"/>
  <c r="I12" i="12"/>
  <c r="E20" i="11"/>
  <c r="Q30" i="11" l="1"/>
  <c r="E12" i="12"/>
  <c r="P48" i="11"/>
  <c r="P31" i="11"/>
  <c r="P39" i="11" s="1"/>
  <c r="P27" i="11"/>
  <c r="P33" i="11"/>
  <c r="P45" i="11"/>
  <c r="P46" i="11" s="1"/>
  <c r="P26" i="11"/>
  <c r="Q26" i="11" s="1"/>
  <c r="P75" i="4"/>
  <c r="P29" i="11"/>
  <c r="Q29" i="11" s="1"/>
  <c r="Q56" i="4" s="1"/>
  <c r="P69" i="4"/>
  <c r="P36" i="11"/>
  <c r="P51" i="11"/>
  <c r="P52" i="11" s="1"/>
  <c r="P77" i="4"/>
  <c r="P64" i="4"/>
  <c r="P66" i="4"/>
  <c r="P54" i="11" s="1"/>
  <c r="P55" i="11" s="1"/>
  <c r="H6" i="4"/>
  <c r="G30" i="4"/>
  <c r="E99" i="4"/>
  <c r="E96" i="4"/>
  <c r="E86" i="4"/>
  <c r="E82" i="4"/>
  <c r="E87" i="4"/>
  <c r="E90" i="4"/>
  <c r="E88" i="4"/>
  <c r="E89" i="4"/>
  <c r="E79" i="4"/>
  <c r="E37" i="11" s="1"/>
  <c r="E83" i="4"/>
  <c r="E80" i="4"/>
  <c r="E85" i="4"/>
  <c r="E81" i="4"/>
  <c r="E38" i="11" s="1"/>
  <c r="E78" i="4"/>
  <c r="E58" i="4"/>
  <c r="E54" i="4"/>
  <c r="E74" i="4"/>
  <c r="E63" i="4"/>
  <c r="E68" i="4"/>
  <c r="E65" i="4"/>
  <c r="E60" i="4"/>
  <c r="E37" i="4"/>
  <c r="E38" i="4"/>
  <c r="E41" i="4"/>
  <c r="E25" i="4"/>
  <c r="E39" i="4"/>
  <c r="E29" i="4"/>
  <c r="E27" i="4"/>
  <c r="E36" i="4"/>
  <c r="E50" i="4"/>
  <c r="E52" i="4" s="1"/>
  <c r="E26" i="4"/>
  <c r="E31" i="4"/>
  <c r="E28" i="4"/>
  <c r="E17" i="4"/>
  <c r="E21" i="4"/>
  <c r="E18" i="4"/>
  <c r="E19" i="4"/>
  <c r="E20" i="4"/>
  <c r="E19" i="11"/>
  <c r="F19" i="11"/>
  <c r="E12" i="4"/>
  <c r="E35" i="11" s="1"/>
  <c r="E16" i="4"/>
  <c r="E14" i="4"/>
  <c r="R26" i="11" l="1"/>
  <c r="T26" i="11" s="1"/>
  <c r="V26" i="11" s="1"/>
  <c r="S26" i="11"/>
  <c r="U26" i="11" s="1"/>
  <c r="P28" i="11"/>
  <c r="Q27" i="11"/>
  <c r="E32" i="11"/>
  <c r="I6" i="4"/>
  <c r="H30" i="4"/>
  <c r="H51" i="4"/>
  <c r="E45" i="11"/>
  <c r="E26" i="11"/>
  <c r="E53" i="4"/>
  <c r="E60" i="11"/>
  <c r="E34" i="11"/>
  <c r="E95" i="4"/>
  <c r="E97" i="4" s="1"/>
  <c r="E100" i="4" s="1"/>
  <c r="E91" i="4"/>
  <c r="E43" i="11"/>
  <c r="F94" i="4"/>
  <c r="F96" i="4"/>
  <c r="F99" i="4"/>
  <c r="E76" i="4"/>
  <c r="E59" i="4"/>
  <c r="E31" i="11" s="1"/>
  <c r="F89" i="4"/>
  <c r="F92" i="4"/>
  <c r="F88" i="4"/>
  <c r="F87" i="4"/>
  <c r="F90" i="4"/>
  <c r="F86" i="4"/>
  <c r="E84" i="4"/>
  <c r="F81" i="4"/>
  <c r="F38" i="11" s="1"/>
  <c r="F82" i="4"/>
  <c r="F85" i="4"/>
  <c r="F80" i="4"/>
  <c r="F83" i="4"/>
  <c r="F79" i="4"/>
  <c r="F37" i="11" s="1"/>
  <c r="F74" i="4"/>
  <c r="F78" i="4"/>
  <c r="F58" i="4"/>
  <c r="F54" i="4"/>
  <c r="F65" i="4"/>
  <c r="F68" i="4"/>
  <c r="F63" i="4"/>
  <c r="F60" i="4"/>
  <c r="F36" i="4"/>
  <c r="F41" i="4"/>
  <c r="F39" i="4"/>
  <c r="F38" i="4"/>
  <c r="F50" i="4"/>
  <c r="F37" i="4"/>
  <c r="E24" i="4"/>
  <c r="E44" i="4"/>
  <c r="E40" i="4"/>
  <c r="E32" i="4"/>
  <c r="F27" i="4"/>
  <c r="F28" i="4"/>
  <c r="F31" i="4"/>
  <c r="F25" i="4"/>
  <c r="F26" i="4"/>
  <c r="F29" i="4"/>
  <c r="F18" i="4"/>
  <c r="F19" i="4"/>
  <c r="F21" i="4"/>
  <c r="F17" i="4"/>
  <c r="F20" i="4"/>
  <c r="E22" i="4"/>
  <c r="E13" i="4"/>
  <c r="F7" i="4"/>
  <c r="F20" i="11" s="1"/>
  <c r="F16" i="4"/>
  <c r="F12" i="4"/>
  <c r="F35" i="11" s="1"/>
  <c r="F14" i="4"/>
  <c r="F15" i="4"/>
  <c r="G19" i="11"/>
  <c r="E66" i="11"/>
  <c r="F65" i="11"/>
  <c r="E63" i="11"/>
  <c r="E27" i="11" l="1"/>
  <c r="E28" i="11" s="1"/>
  <c r="E33" i="11"/>
  <c r="Q53" i="4"/>
  <c r="R27" i="11"/>
  <c r="F32" i="11"/>
  <c r="J6" i="4"/>
  <c r="I30" i="4"/>
  <c r="I51" i="4"/>
  <c r="E46" i="11"/>
  <c r="F60" i="11"/>
  <c r="F43" i="11"/>
  <c r="F44" i="11" s="1"/>
  <c r="F52" i="4"/>
  <c r="F34" i="11"/>
  <c r="F47" i="11"/>
  <c r="F49" i="11"/>
  <c r="G99" i="4"/>
  <c r="G96" i="4"/>
  <c r="G94" i="4"/>
  <c r="F24" i="11"/>
  <c r="F91" i="4"/>
  <c r="F95" i="4"/>
  <c r="F76" i="4"/>
  <c r="G88" i="4"/>
  <c r="G90" i="4"/>
  <c r="G87" i="4"/>
  <c r="G86" i="4"/>
  <c r="G89" i="4"/>
  <c r="G92" i="4"/>
  <c r="G85" i="4"/>
  <c r="G80" i="4"/>
  <c r="G83" i="4"/>
  <c r="G79" i="4"/>
  <c r="G37" i="11" s="1"/>
  <c r="G81" i="4"/>
  <c r="G38" i="11" s="1"/>
  <c r="G82" i="4"/>
  <c r="F84" i="4"/>
  <c r="G74" i="4"/>
  <c r="G78" i="4"/>
  <c r="G54" i="4"/>
  <c r="F73" i="4"/>
  <c r="F56" i="4"/>
  <c r="F29" i="11" s="1"/>
  <c r="G65" i="4"/>
  <c r="G68" i="4"/>
  <c r="G63" i="4"/>
  <c r="G55" i="4"/>
  <c r="G58" i="4"/>
  <c r="G60" i="11" s="1"/>
  <c r="G60" i="4"/>
  <c r="G57" i="4"/>
  <c r="G36" i="4"/>
  <c r="G39" i="4"/>
  <c r="G41" i="4"/>
  <c r="G38" i="4"/>
  <c r="G50" i="4"/>
  <c r="G37" i="4"/>
  <c r="F40" i="4"/>
  <c r="F44" i="4"/>
  <c r="E34" i="4"/>
  <c r="E46" i="4" s="1"/>
  <c r="G27" i="4"/>
  <c r="G26" i="4"/>
  <c r="G31" i="4"/>
  <c r="G29" i="4"/>
  <c r="G25" i="4"/>
  <c r="G28" i="4"/>
  <c r="F24" i="4"/>
  <c r="F32" i="4"/>
  <c r="G16" i="4"/>
  <c r="G19" i="4"/>
  <c r="G18" i="4"/>
  <c r="G21" i="4"/>
  <c r="G17" i="4"/>
  <c r="G20" i="4"/>
  <c r="F22" i="4"/>
  <c r="G12" i="4"/>
  <c r="G35" i="11" s="1"/>
  <c r="F13" i="4"/>
  <c r="G7" i="4"/>
  <c r="G20" i="11" s="1"/>
  <c r="G14" i="4"/>
  <c r="G15" i="4"/>
  <c r="F63" i="11"/>
  <c r="F66" i="11"/>
  <c r="G65" i="11"/>
  <c r="R53" i="4" l="1"/>
  <c r="G32" i="11"/>
  <c r="K6" i="4"/>
  <c r="J30" i="4"/>
  <c r="J51" i="4"/>
  <c r="F45" i="11"/>
  <c r="F46" i="11" s="1"/>
  <c r="F26" i="11"/>
  <c r="F53" i="4"/>
  <c r="G43" i="11"/>
  <c r="G44" i="11" s="1"/>
  <c r="G52" i="4"/>
  <c r="G53" i="4" s="1"/>
  <c r="G27" i="11" s="1"/>
  <c r="G28" i="11" s="1"/>
  <c r="G34" i="11"/>
  <c r="H19" i="11"/>
  <c r="G47" i="11"/>
  <c r="G49" i="11"/>
  <c r="E39" i="11"/>
  <c r="G24" i="11"/>
  <c r="G95" i="4"/>
  <c r="G97" i="4" s="1"/>
  <c r="G100" i="4" s="1"/>
  <c r="G73" i="4"/>
  <c r="F75" i="4"/>
  <c r="F77" i="4" s="1"/>
  <c r="H99" i="4"/>
  <c r="H96" i="4"/>
  <c r="H94" i="4"/>
  <c r="G76" i="4"/>
  <c r="G84" i="4"/>
  <c r="H88" i="4"/>
  <c r="H87" i="4"/>
  <c r="H86" i="4"/>
  <c r="H92" i="4"/>
  <c r="H89" i="4"/>
  <c r="H90" i="4"/>
  <c r="G91" i="4"/>
  <c r="H85" i="4"/>
  <c r="H80" i="4"/>
  <c r="H83" i="4"/>
  <c r="H79" i="4"/>
  <c r="H37" i="11" s="1"/>
  <c r="H81" i="4"/>
  <c r="H38" i="11" s="1"/>
  <c r="H82" i="4"/>
  <c r="H74" i="4"/>
  <c r="H78" i="4"/>
  <c r="H54" i="4"/>
  <c r="H68" i="4"/>
  <c r="H63" i="4"/>
  <c r="H65" i="4"/>
  <c r="G59" i="4"/>
  <c r="G61" i="4" s="1"/>
  <c r="G56" i="4"/>
  <c r="G29" i="11" s="1"/>
  <c r="H55" i="4"/>
  <c r="H58" i="4"/>
  <c r="H60" i="4"/>
  <c r="H57" i="4"/>
  <c r="G44" i="4"/>
  <c r="G40" i="4"/>
  <c r="H39" i="4"/>
  <c r="H38" i="4"/>
  <c r="H36" i="4"/>
  <c r="H50" i="4"/>
  <c r="H41" i="4"/>
  <c r="H37" i="4"/>
  <c r="F34" i="4"/>
  <c r="F46" i="4" s="1"/>
  <c r="G24" i="4"/>
  <c r="G32" i="4"/>
  <c r="H12" i="4"/>
  <c r="H35" i="11" s="1"/>
  <c r="H31" i="4"/>
  <c r="H27" i="4"/>
  <c r="H26" i="4"/>
  <c r="H29" i="4"/>
  <c r="H25" i="4"/>
  <c r="H28" i="4"/>
  <c r="I19" i="11"/>
  <c r="H16" i="4"/>
  <c r="H18" i="4"/>
  <c r="H21" i="4"/>
  <c r="H17" i="4"/>
  <c r="H20" i="4"/>
  <c r="H19" i="4"/>
  <c r="G22" i="4"/>
  <c r="G13" i="4"/>
  <c r="H15" i="4"/>
  <c r="H7" i="4"/>
  <c r="H20" i="11" s="1"/>
  <c r="H14" i="4"/>
  <c r="G66" i="11"/>
  <c r="G63" i="11"/>
  <c r="H65" i="11"/>
  <c r="F27" i="11" l="1"/>
  <c r="F28" i="11" s="1"/>
  <c r="F33" i="11"/>
  <c r="G33" i="11"/>
  <c r="H32" i="11"/>
  <c r="L6" i="4"/>
  <c r="K30" i="4"/>
  <c r="K51" i="4"/>
  <c r="H60" i="11"/>
  <c r="H34" i="11"/>
  <c r="G51" i="11"/>
  <c r="G66" i="4"/>
  <c r="G54" i="11" s="1"/>
  <c r="G55" i="11" s="1"/>
  <c r="G64" i="4"/>
  <c r="G45" i="11"/>
  <c r="G46" i="11" s="1"/>
  <c r="G26" i="11"/>
  <c r="H43" i="11"/>
  <c r="H44" i="11" s="1"/>
  <c r="H52" i="4"/>
  <c r="H53" i="4" s="1"/>
  <c r="H27" i="11" s="1"/>
  <c r="H28" i="11" s="1"/>
  <c r="G69" i="4"/>
  <c r="G31" i="11"/>
  <c r="H47" i="11"/>
  <c r="H73" i="4"/>
  <c r="H49" i="11"/>
  <c r="H76" i="4"/>
  <c r="G36" i="11"/>
  <c r="H24" i="11"/>
  <c r="I94" i="4"/>
  <c r="I99" i="4"/>
  <c r="I96" i="4"/>
  <c r="G75" i="4"/>
  <c r="G77" i="4" s="1"/>
  <c r="H95" i="4"/>
  <c r="H97" i="4" s="1"/>
  <c r="H100" i="4" s="1"/>
  <c r="H91" i="4"/>
  <c r="I87" i="4"/>
  <c r="I86" i="4"/>
  <c r="I89" i="4"/>
  <c r="I92" i="4"/>
  <c r="I90" i="4"/>
  <c r="I88" i="4"/>
  <c r="I83" i="4"/>
  <c r="I79" i="4"/>
  <c r="I37" i="11" s="1"/>
  <c r="I82" i="4"/>
  <c r="I85" i="4"/>
  <c r="I81" i="4"/>
  <c r="I38" i="11" s="1"/>
  <c r="I80" i="4"/>
  <c r="H84" i="4"/>
  <c r="I74" i="4"/>
  <c r="I78" i="4"/>
  <c r="I54" i="4"/>
  <c r="I15" i="4"/>
  <c r="I68" i="4"/>
  <c r="I63" i="4"/>
  <c r="I65" i="4"/>
  <c r="G34" i="4"/>
  <c r="G46" i="4" s="1"/>
  <c r="I16" i="4"/>
  <c r="J19" i="11"/>
  <c r="I20" i="4"/>
  <c r="I12" i="4"/>
  <c r="I35" i="11" s="1"/>
  <c r="H59" i="4"/>
  <c r="H61" i="4" s="1"/>
  <c r="H69" i="4" s="1"/>
  <c r="H56" i="4"/>
  <c r="H29" i="11" s="1"/>
  <c r="I58" i="4"/>
  <c r="I60" i="4"/>
  <c r="I57" i="4"/>
  <c r="I7" i="4"/>
  <c r="I20" i="11" s="1"/>
  <c r="I55" i="4"/>
  <c r="I39" i="4"/>
  <c r="I38" i="4"/>
  <c r="I50" i="4"/>
  <c r="I37" i="4"/>
  <c r="I41" i="4"/>
  <c r="I36" i="4"/>
  <c r="H44" i="4"/>
  <c r="H40" i="4"/>
  <c r="H24" i="4"/>
  <c r="H32" i="4"/>
  <c r="I31" i="4"/>
  <c r="I26" i="4"/>
  <c r="I29" i="4"/>
  <c r="I27" i="4"/>
  <c r="I25" i="4"/>
  <c r="I28" i="4"/>
  <c r="I14" i="4"/>
  <c r="I19" i="4"/>
  <c r="I17" i="4"/>
  <c r="I21" i="4"/>
  <c r="I18" i="4"/>
  <c r="H22" i="4"/>
  <c r="H13" i="4"/>
  <c r="H66" i="11"/>
  <c r="H63" i="11"/>
  <c r="I65" i="11"/>
  <c r="J65" i="11" s="1"/>
  <c r="F48" i="11"/>
  <c r="H33" i="11" l="1"/>
  <c r="I32" i="11"/>
  <c r="M6" i="4"/>
  <c r="L30" i="4"/>
  <c r="L51" i="4"/>
  <c r="H51" i="11"/>
  <c r="H66" i="4"/>
  <c r="H54" i="11" s="1"/>
  <c r="H55" i="11" s="1"/>
  <c r="H64" i="4"/>
  <c r="I60" i="11"/>
  <c r="H45" i="11"/>
  <c r="H46" i="11" s="1"/>
  <c r="H26" i="11"/>
  <c r="I43" i="11"/>
  <c r="I44" i="11" s="1"/>
  <c r="I52" i="4"/>
  <c r="I53" i="4" s="1"/>
  <c r="I27" i="11" s="1"/>
  <c r="I28" i="11" s="1"/>
  <c r="I34" i="11"/>
  <c r="I47" i="11"/>
  <c r="H31" i="11"/>
  <c r="I73" i="4"/>
  <c r="I49" i="11"/>
  <c r="H75" i="4"/>
  <c r="H77" i="4" s="1"/>
  <c r="I76" i="4"/>
  <c r="H36" i="11"/>
  <c r="G39" i="11"/>
  <c r="I24" i="11"/>
  <c r="J99" i="4"/>
  <c r="J94" i="4"/>
  <c r="J96" i="4"/>
  <c r="I91" i="4"/>
  <c r="I95" i="4"/>
  <c r="I97" i="4" s="1"/>
  <c r="I100" i="4" s="1"/>
  <c r="J87" i="4"/>
  <c r="J86" i="4"/>
  <c r="J89" i="4"/>
  <c r="J92" i="4"/>
  <c r="J90" i="4"/>
  <c r="J88" i="4"/>
  <c r="I84" i="4"/>
  <c r="J83" i="4"/>
  <c r="J79" i="4"/>
  <c r="J37" i="11" s="1"/>
  <c r="J82" i="4"/>
  <c r="J81" i="4"/>
  <c r="J38" i="11" s="1"/>
  <c r="J80" i="4"/>
  <c r="J85" i="4"/>
  <c r="J74" i="4"/>
  <c r="J78" i="4"/>
  <c r="J54" i="4"/>
  <c r="J12" i="4"/>
  <c r="J35" i="11" s="1"/>
  <c r="J28" i="4"/>
  <c r="J26" i="4"/>
  <c r="J36" i="4"/>
  <c r="J29" i="4"/>
  <c r="J14" i="4"/>
  <c r="J17" i="4"/>
  <c r="J25" i="4"/>
  <c r="J50" i="4"/>
  <c r="J18" i="4"/>
  <c r="J21" i="4"/>
  <c r="J37" i="4"/>
  <c r="J7" i="4"/>
  <c r="J20" i="11" s="1"/>
  <c r="J19" i="4"/>
  <c r="J41" i="4"/>
  <c r="J44" i="4" s="1"/>
  <c r="J15" i="4"/>
  <c r="J20" i="4"/>
  <c r="J31" i="4"/>
  <c r="J16" i="4"/>
  <c r="J27" i="4"/>
  <c r="J39" i="4"/>
  <c r="J38" i="4"/>
  <c r="J65" i="4"/>
  <c r="J68" i="4"/>
  <c r="J63" i="4"/>
  <c r="I13" i="4"/>
  <c r="I59" i="4"/>
  <c r="I61" i="4" s="1"/>
  <c r="I69" i="4" s="1"/>
  <c r="I56" i="4"/>
  <c r="I29" i="11" s="1"/>
  <c r="J55" i="4"/>
  <c r="J58" i="4"/>
  <c r="J60" i="4"/>
  <c r="J57" i="4"/>
  <c r="I44" i="4"/>
  <c r="I40" i="4"/>
  <c r="H34" i="4"/>
  <c r="H46" i="4" s="1"/>
  <c r="I24" i="4"/>
  <c r="I32" i="4"/>
  <c r="I22" i="4"/>
  <c r="J63" i="11"/>
  <c r="K65" i="11"/>
  <c r="L65" i="11" s="1"/>
  <c r="J66" i="11"/>
  <c r="I63" i="11"/>
  <c r="I66" i="11"/>
  <c r="I33" i="11" l="1"/>
  <c r="J32" i="11"/>
  <c r="M80" i="4"/>
  <c r="M30" i="4"/>
  <c r="M68" i="4"/>
  <c r="M74" i="4"/>
  <c r="M58" i="4"/>
  <c r="M21" i="4"/>
  <c r="M54" i="4"/>
  <c r="M57" i="4" s="1"/>
  <c r="M18" i="4"/>
  <c r="M90" i="4"/>
  <c r="M94" i="4"/>
  <c r="M38" i="4"/>
  <c r="M39" i="4"/>
  <c r="M50" i="4"/>
  <c r="N6" i="4"/>
  <c r="M29" i="4"/>
  <c r="M26" i="4"/>
  <c r="M51" i="4"/>
  <c r="M28" i="4"/>
  <c r="M36" i="4"/>
  <c r="M99" i="4"/>
  <c r="M20" i="4"/>
  <c r="M65" i="4"/>
  <c r="M89" i="4"/>
  <c r="M96" i="4"/>
  <c r="M92" i="4"/>
  <c r="M15" i="4"/>
  <c r="M17" i="4"/>
  <c r="M85" i="4"/>
  <c r="M87" i="4"/>
  <c r="M41" i="4"/>
  <c r="M83" i="4"/>
  <c r="M14" i="4"/>
  <c r="M19" i="4"/>
  <c r="M25" i="4"/>
  <c r="M86" i="4"/>
  <c r="M12" i="4"/>
  <c r="M35" i="11" s="1"/>
  <c r="M27" i="4"/>
  <c r="M60" i="4"/>
  <c r="M7" i="4"/>
  <c r="M20" i="11" s="1"/>
  <c r="M16" i="4"/>
  <c r="M78" i="4"/>
  <c r="M88" i="4"/>
  <c r="M37" i="4"/>
  <c r="M82" i="4"/>
  <c r="M79" i="4"/>
  <c r="M37" i="11" s="1"/>
  <c r="M31" i="4"/>
  <c r="M63" i="4"/>
  <c r="M81" i="4"/>
  <c r="M38" i="11" s="1"/>
  <c r="J60" i="11"/>
  <c r="I66" i="4"/>
  <c r="I54" i="11" s="1"/>
  <c r="I55" i="11" s="1"/>
  <c r="I64" i="4"/>
  <c r="I45" i="11"/>
  <c r="I46" i="11" s="1"/>
  <c r="I26" i="11"/>
  <c r="J43" i="11"/>
  <c r="J44" i="11" s="1"/>
  <c r="J52" i="4"/>
  <c r="J34" i="11"/>
  <c r="J47" i="11"/>
  <c r="I75" i="4"/>
  <c r="I77" i="4" s="1"/>
  <c r="I31" i="11"/>
  <c r="I51" i="11"/>
  <c r="H39" i="11"/>
  <c r="J95" i="4"/>
  <c r="J97" i="4" s="1"/>
  <c r="J100" i="4" s="1"/>
  <c r="J73" i="4"/>
  <c r="J49" i="11"/>
  <c r="J76" i="4"/>
  <c r="I36" i="11"/>
  <c r="J24" i="11"/>
  <c r="J25" i="11"/>
  <c r="K18" i="4"/>
  <c r="K19" i="11"/>
  <c r="L19" i="11"/>
  <c r="K39" i="4"/>
  <c r="K99" i="4"/>
  <c r="K94" i="4"/>
  <c r="K96" i="4"/>
  <c r="J91" i="4"/>
  <c r="K86" i="4"/>
  <c r="K89" i="4"/>
  <c r="K92" i="4"/>
  <c r="K90" i="4"/>
  <c r="K88" i="4"/>
  <c r="K87" i="4"/>
  <c r="J84" i="4"/>
  <c r="K27" i="4"/>
  <c r="K79" i="4"/>
  <c r="K37" i="11" s="1"/>
  <c r="K82" i="4"/>
  <c r="K81" i="4"/>
  <c r="K38" i="11" s="1"/>
  <c r="K83" i="4"/>
  <c r="K85" i="4"/>
  <c r="K80" i="4"/>
  <c r="K38" i="4"/>
  <c r="K36" i="4"/>
  <c r="K21" i="4"/>
  <c r="K78" i="4"/>
  <c r="K19" i="4"/>
  <c r="K28" i="4"/>
  <c r="J24" i="4"/>
  <c r="K63" i="4"/>
  <c r="K74" i="4"/>
  <c r="K31" i="4"/>
  <c r="K26" i="4"/>
  <c r="J32" i="4"/>
  <c r="J40" i="4"/>
  <c r="K20" i="4"/>
  <c r="K25" i="4"/>
  <c r="K37" i="4"/>
  <c r="K57" i="4"/>
  <c r="K17" i="4"/>
  <c r="K29" i="4"/>
  <c r="K50" i="4"/>
  <c r="P25" i="11" s="1"/>
  <c r="K60" i="4"/>
  <c r="K7" i="4"/>
  <c r="K20" i="11" s="1"/>
  <c r="K14" i="4"/>
  <c r="K16" i="4"/>
  <c r="K41" i="4"/>
  <c r="K44" i="4" s="1"/>
  <c r="K58" i="4"/>
  <c r="K15" i="4"/>
  <c r="K12" i="4"/>
  <c r="K35" i="11" s="1"/>
  <c r="K55" i="4"/>
  <c r="K54" i="4"/>
  <c r="J13" i="4"/>
  <c r="J22" i="4"/>
  <c r="K68" i="4"/>
  <c r="K65" i="4"/>
  <c r="L65" i="4"/>
  <c r="D13" i="11" s="1"/>
  <c r="J59" i="4"/>
  <c r="J61" i="4" s="1"/>
  <c r="J56" i="4"/>
  <c r="J29" i="11" s="1"/>
  <c r="I34" i="4"/>
  <c r="I46" i="4" s="1"/>
  <c r="K63" i="11"/>
  <c r="K66" i="11"/>
  <c r="L66" i="11"/>
  <c r="F97" i="4"/>
  <c r="F100" i="4" s="1"/>
  <c r="F59" i="4"/>
  <c r="F31" i="11" s="1"/>
  <c r="K32" i="11" l="1"/>
  <c r="M32" i="11"/>
  <c r="P61" i="11"/>
  <c r="P57" i="11"/>
  <c r="M55" i="4"/>
  <c r="M56" i="4" s="1"/>
  <c r="M29" i="11" s="1"/>
  <c r="M49" i="11"/>
  <c r="M73" i="4"/>
  <c r="M59" i="4"/>
  <c r="M61" i="4" s="1"/>
  <c r="M69" i="4" s="1"/>
  <c r="M84" i="4"/>
  <c r="N30" i="4"/>
  <c r="N68" i="4"/>
  <c r="N41" i="4"/>
  <c r="N38" i="4"/>
  <c r="N12" i="4"/>
  <c r="N35" i="11" s="1"/>
  <c r="N85" i="4"/>
  <c r="N15" i="4"/>
  <c r="N58" i="4"/>
  <c r="N31" i="4"/>
  <c r="N27" i="4"/>
  <c r="N88" i="4"/>
  <c r="N65" i="4"/>
  <c r="N14" i="4"/>
  <c r="N50" i="4"/>
  <c r="N21" i="4"/>
  <c r="N18" i="4"/>
  <c r="N80" i="4"/>
  <c r="N57" i="4"/>
  <c r="N78" i="4"/>
  <c r="N16" i="4"/>
  <c r="N54" i="4"/>
  <c r="N26" i="4"/>
  <c r="N82" i="4"/>
  <c r="N36" i="4"/>
  <c r="O6" i="4"/>
  <c r="N83" i="4"/>
  <c r="N51" i="4"/>
  <c r="N19" i="4"/>
  <c r="N39" i="4"/>
  <c r="N28" i="4"/>
  <c r="N34" i="11" s="1"/>
  <c r="N25" i="4"/>
  <c r="N99" i="4"/>
  <c r="N63" i="4"/>
  <c r="N37" i="4"/>
  <c r="N7" i="4"/>
  <c r="N86" i="4"/>
  <c r="N92" i="4"/>
  <c r="N29" i="4"/>
  <c r="N96" i="4"/>
  <c r="N89" i="4"/>
  <c r="N74" i="4"/>
  <c r="N87" i="4"/>
  <c r="N81" i="4"/>
  <c r="N38" i="11" s="1"/>
  <c r="N17" i="4"/>
  <c r="N79" i="4"/>
  <c r="N37" i="11" s="1"/>
  <c r="N55" i="4"/>
  <c r="N47" i="11" s="1"/>
  <c r="N60" i="4"/>
  <c r="N20" i="4"/>
  <c r="N94" i="4"/>
  <c r="N90" i="4"/>
  <c r="M40" i="4"/>
  <c r="M44" i="4"/>
  <c r="M24" i="4"/>
  <c r="M32" i="4"/>
  <c r="M34" i="11"/>
  <c r="M52" i="4"/>
  <c r="M25" i="11"/>
  <c r="M43" i="11"/>
  <c r="M91" i="4"/>
  <c r="M95" i="4"/>
  <c r="M97" i="4" s="1"/>
  <c r="M100" i="4" s="1"/>
  <c r="M76" i="4"/>
  <c r="M13" i="4"/>
  <c r="M22" i="4"/>
  <c r="M34" i="4" s="1"/>
  <c r="M46" i="4" s="1"/>
  <c r="J48" i="11"/>
  <c r="J45" i="11"/>
  <c r="J46" i="11" s="1"/>
  <c r="J26" i="11"/>
  <c r="K60" i="11"/>
  <c r="J53" i="4"/>
  <c r="J36" i="11"/>
  <c r="J66" i="4"/>
  <c r="J54" i="11" s="1"/>
  <c r="J55" i="11" s="1"/>
  <c r="J64" i="4"/>
  <c r="K43" i="11"/>
  <c r="K44" i="11" s="1"/>
  <c r="K52" i="4"/>
  <c r="K53" i="4" s="1"/>
  <c r="J69" i="4"/>
  <c r="J50" i="11"/>
  <c r="K34" i="11"/>
  <c r="L14" i="4"/>
  <c r="L20" i="4"/>
  <c r="L29" i="4"/>
  <c r="L88" i="4"/>
  <c r="J31" i="11"/>
  <c r="K47" i="11"/>
  <c r="K73" i="4"/>
  <c r="K49" i="11"/>
  <c r="I39" i="11"/>
  <c r="F39" i="11"/>
  <c r="K76" i="4"/>
  <c r="J75" i="4"/>
  <c r="J77" i="4" s="1"/>
  <c r="J51" i="11"/>
  <c r="L80" i="4"/>
  <c r="L19" i="4"/>
  <c r="L85" i="4"/>
  <c r="L92" i="4"/>
  <c r="L15" i="4"/>
  <c r="L16" i="4"/>
  <c r="L39" i="4"/>
  <c r="L57" i="4"/>
  <c r="L83" i="4"/>
  <c r="L89" i="4"/>
  <c r="L31" i="4"/>
  <c r="L38" i="4"/>
  <c r="L60" i="4"/>
  <c r="K24" i="11"/>
  <c r="K25" i="11"/>
  <c r="L81" i="4"/>
  <c r="L38" i="11" s="1"/>
  <c r="L86" i="4"/>
  <c r="L36" i="4"/>
  <c r="L58" i="4"/>
  <c r="L79" i="4"/>
  <c r="L37" i="11" s="1"/>
  <c r="L7" i="4"/>
  <c r="L20" i="11" s="1"/>
  <c r="L12" i="4"/>
  <c r="L27" i="4"/>
  <c r="L17" i="4"/>
  <c r="L26" i="4"/>
  <c r="L37" i="4"/>
  <c r="L55" i="4"/>
  <c r="L54" i="4"/>
  <c r="L78" i="4"/>
  <c r="L82" i="4"/>
  <c r="L25" i="4"/>
  <c r="L74" i="4"/>
  <c r="L87" i="4"/>
  <c r="L21" i="4"/>
  <c r="L41" i="4"/>
  <c r="L44" i="4" s="1"/>
  <c r="L63" i="4"/>
  <c r="L18" i="4"/>
  <c r="L28" i="4"/>
  <c r="L50" i="4"/>
  <c r="M24" i="11" s="1"/>
  <c r="L68" i="4"/>
  <c r="L90" i="4"/>
  <c r="K91" i="4"/>
  <c r="K95" i="4"/>
  <c r="K97" i="4" s="1"/>
  <c r="K100" i="4" s="1"/>
  <c r="L94" i="4"/>
  <c r="L96" i="4"/>
  <c r="L99" i="4"/>
  <c r="K59" i="4"/>
  <c r="K31" i="11" s="1"/>
  <c r="K22" i="4"/>
  <c r="K32" i="4"/>
  <c r="K13" i="4"/>
  <c r="K84" i="4"/>
  <c r="K24" i="4"/>
  <c r="K40" i="4"/>
  <c r="J34" i="4"/>
  <c r="J46" i="4" s="1"/>
  <c r="K56" i="4"/>
  <c r="K29" i="11" s="1"/>
  <c r="F61" i="4"/>
  <c r="F50" i="11"/>
  <c r="M36" i="11" l="1"/>
  <c r="M47" i="11"/>
  <c r="M48" i="11" s="1"/>
  <c r="M31" i="11"/>
  <c r="M39" i="11" s="1"/>
  <c r="K27" i="11"/>
  <c r="K28" i="11" s="1"/>
  <c r="K33" i="11"/>
  <c r="J27" i="11"/>
  <c r="J28" i="11" s="1"/>
  <c r="J33" i="11"/>
  <c r="L32" i="11"/>
  <c r="O30" i="4"/>
  <c r="Q30" i="4" s="1"/>
  <c r="R30" i="4" s="1"/>
  <c r="S30" i="4" s="1"/>
  <c r="T30" i="4" s="1"/>
  <c r="U30" i="4" s="1"/>
  <c r="V30" i="4" s="1"/>
  <c r="W30" i="4" s="1"/>
  <c r="O55" i="4"/>
  <c r="O92" i="4"/>
  <c r="O38" i="4"/>
  <c r="O51" i="4"/>
  <c r="O90" i="4"/>
  <c r="O74" i="4"/>
  <c r="O28" i="4"/>
  <c r="O41" i="4"/>
  <c r="O27" i="4"/>
  <c r="O37" i="4"/>
  <c r="O82" i="4"/>
  <c r="O63" i="4"/>
  <c r="O20" i="4"/>
  <c r="Q20" i="4" s="1"/>
  <c r="R20" i="4" s="1"/>
  <c r="S20" i="4" s="1"/>
  <c r="T20" i="4" s="1"/>
  <c r="U20" i="4" s="1"/>
  <c r="V20" i="4" s="1"/>
  <c r="W20" i="4" s="1"/>
  <c r="O80" i="4"/>
  <c r="O14" i="4"/>
  <c r="O16" i="4"/>
  <c r="O68" i="4"/>
  <c r="O31" i="4"/>
  <c r="O18" i="4"/>
  <c r="Q18" i="4" s="1"/>
  <c r="R18" i="4" s="1"/>
  <c r="S18" i="4" s="1"/>
  <c r="T18" i="4" s="1"/>
  <c r="U18" i="4" s="1"/>
  <c r="V18" i="4" s="1"/>
  <c r="W18" i="4" s="1"/>
  <c r="O26" i="4"/>
  <c r="O96" i="4"/>
  <c r="O25" i="4"/>
  <c r="O58" i="4"/>
  <c r="O21" i="4"/>
  <c r="O86" i="4"/>
  <c r="O17" i="4"/>
  <c r="O50" i="4"/>
  <c r="P24" i="11" s="1"/>
  <c r="Q24" i="11" s="1"/>
  <c r="Q50" i="4" s="1"/>
  <c r="Q28" i="11" s="1"/>
  <c r="O79" i="4"/>
  <c r="O37" i="11" s="1"/>
  <c r="O19" i="4"/>
  <c r="O60" i="4"/>
  <c r="O99" i="4"/>
  <c r="O78" i="4"/>
  <c r="O94" i="4"/>
  <c r="O7" i="4"/>
  <c r="O39" i="4"/>
  <c r="O12" i="4"/>
  <c r="O35" i="11" s="1"/>
  <c r="O89" i="4"/>
  <c r="O15" i="4"/>
  <c r="O85" i="4"/>
  <c r="O83" i="4"/>
  <c r="O29" i="4"/>
  <c r="O54" i="4"/>
  <c r="O57" i="4" s="1"/>
  <c r="O81" i="4"/>
  <c r="O38" i="11" s="1"/>
  <c r="O88" i="4"/>
  <c r="O65" i="4"/>
  <c r="O36" i="4"/>
  <c r="O87" i="4"/>
  <c r="Q6" i="4"/>
  <c r="R6" i="4" s="1"/>
  <c r="S6" i="4" s="1"/>
  <c r="T6" i="4" s="1"/>
  <c r="U6" i="4" s="1"/>
  <c r="N76" i="4"/>
  <c r="M75" i="4"/>
  <c r="M77" i="4" s="1"/>
  <c r="M45" i="11"/>
  <c r="M46" i="11" s="1"/>
  <c r="M26" i="11"/>
  <c r="N43" i="11"/>
  <c r="N44" i="11" s="1"/>
  <c r="N24" i="11"/>
  <c r="N25" i="11"/>
  <c r="N52" i="4"/>
  <c r="N84" i="4"/>
  <c r="M51" i="11"/>
  <c r="M52" i="11" s="1"/>
  <c r="M64" i="4"/>
  <c r="M66" i="4"/>
  <c r="M54" i="11" s="1"/>
  <c r="M55" i="11" s="1"/>
  <c r="N91" i="4"/>
  <c r="N95" i="4"/>
  <c r="N97" i="4" s="1"/>
  <c r="N100" i="4" s="1"/>
  <c r="N22" i="4"/>
  <c r="N34" i="4" s="1"/>
  <c r="N13" i="4"/>
  <c r="Q21" i="4"/>
  <c r="R21" i="4" s="1"/>
  <c r="S21" i="4" s="1"/>
  <c r="T21" i="4" s="1"/>
  <c r="U21" i="4" s="1"/>
  <c r="V21" i="4" s="1"/>
  <c r="W21" i="4" s="1"/>
  <c r="M53" i="4"/>
  <c r="N40" i="4"/>
  <c r="N44" i="4"/>
  <c r="M50" i="11"/>
  <c r="K34" i="4"/>
  <c r="K46" i="4" s="1"/>
  <c r="N49" i="11"/>
  <c r="N73" i="4"/>
  <c r="N59" i="4"/>
  <c r="N61" i="4" s="1"/>
  <c r="N56" i="4"/>
  <c r="N32" i="4"/>
  <c r="N24" i="4"/>
  <c r="L24" i="4"/>
  <c r="K45" i="11"/>
  <c r="K46" i="11" s="1"/>
  <c r="K26" i="11"/>
  <c r="F66" i="4"/>
  <c r="F64" i="4"/>
  <c r="F69" i="4"/>
  <c r="L43" i="11"/>
  <c r="L52" i="4"/>
  <c r="L60" i="11"/>
  <c r="J52" i="11"/>
  <c r="L22" i="4"/>
  <c r="L32" i="4"/>
  <c r="K61" i="4"/>
  <c r="L34" i="11"/>
  <c r="L13" i="4"/>
  <c r="L35" i="11"/>
  <c r="L91" i="4"/>
  <c r="L47" i="11"/>
  <c r="K75" i="4"/>
  <c r="K77" i="4" s="1"/>
  <c r="L73" i="4"/>
  <c r="L49" i="11"/>
  <c r="L40" i="4"/>
  <c r="L95" i="4"/>
  <c r="L97" i="4" s="1"/>
  <c r="F51" i="11"/>
  <c r="F36" i="11"/>
  <c r="L84" i="4"/>
  <c r="L76" i="4"/>
  <c r="J39" i="11"/>
  <c r="L59" i="4"/>
  <c r="L61" i="4" s="1"/>
  <c r="L69" i="4" s="1"/>
  <c r="L56" i="4"/>
  <c r="L29" i="11" s="1"/>
  <c r="L24" i="11"/>
  <c r="L25" i="11"/>
  <c r="M27" i="11" l="1"/>
  <c r="M28" i="11" s="1"/>
  <c r="M33" i="11"/>
  <c r="L44" i="11"/>
  <c r="N48" i="11"/>
  <c r="N50" i="11"/>
  <c r="K39" i="11"/>
  <c r="O49" i="11"/>
  <c r="O73" i="4"/>
  <c r="O59" i="4"/>
  <c r="O61" i="4" s="1"/>
  <c r="O36" i="11" s="1"/>
  <c r="Q36" i="11" s="1"/>
  <c r="R36" i="11" s="1"/>
  <c r="S36" i="11" s="1"/>
  <c r="T36" i="11" s="1"/>
  <c r="U36" i="11" s="1"/>
  <c r="V36" i="11" s="1"/>
  <c r="W36" i="11" s="1"/>
  <c r="O56" i="4"/>
  <c r="N69" i="4"/>
  <c r="N51" i="11"/>
  <c r="N52" i="11" s="1"/>
  <c r="N64" i="4"/>
  <c r="N66" i="4"/>
  <c r="N54" i="11" s="1"/>
  <c r="N55" i="11" s="1"/>
  <c r="N46" i="4"/>
  <c r="N53" i="4"/>
  <c r="N27" i="11" s="1"/>
  <c r="N28" i="11" s="1"/>
  <c r="N45" i="11"/>
  <c r="N46" i="11" s="1"/>
  <c r="N26" i="11"/>
  <c r="M44" i="11"/>
  <c r="N31" i="11"/>
  <c r="O95" i="4"/>
  <c r="O97" i="4" s="1"/>
  <c r="O100" i="4" s="1"/>
  <c r="O91" i="4"/>
  <c r="N36" i="11"/>
  <c r="O32" i="4"/>
  <c r="O24" i="4"/>
  <c r="O53" i="4"/>
  <c r="O27" i="11" s="1"/>
  <c r="O28" i="11" s="1"/>
  <c r="O47" i="11"/>
  <c r="O52" i="4"/>
  <c r="O43" i="11"/>
  <c r="O24" i="11"/>
  <c r="O25" i="11"/>
  <c r="U19" i="11"/>
  <c r="V6" i="4"/>
  <c r="U7" i="4"/>
  <c r="U20" i="11" s="1"/>
  <c r="O13" i="4"/>
  <c r="O22" i="4"/>
  <c r="O44" i="4"/>
  <c r="O40" i="4"/>
  <c r="O84" i="4"/>
  <c r="O34" i="11"/>
  <c r="R34" i="11" s="1"/>
  <c r="S34" i="11" s="1"/>
  <c r="T34" i="11" s="1"/>
  <c r="U34" i="11" s="1"/>
  <c r="N75" i="4"/>
  <c r="N77" i="4" s="1"/>
  <c r="O76" i="4"/>
  <c r="L34" i="4"/>
  <c r="L46" i="4" s="1"/>
  <c r="K66" i="4"/>
  <c r="K54" i="11" s="1"/>
  <c r="K55" i="11" s="1"/>
  <c r="K64" i="4"/>
  <c r="K69" i="4"/>
  <c r="L45" i="11"/>
  <c r="L46" i="11" s="1"/>
  <c r="L26" i="11"/>
  <c r="L100" i="4"/>
  <c r="L53" i="4"/>
  <c r="L66" i="4"/>
  <c r="L64" i="4"/>
  <c r="K36" i="11"/>
  <c r="K51" i="11"/>
  <c r="F54" i="11"/>
  <c r="F55" i="11" s="1"/>
  <c r="L51" i="11"/>
  <c r="L36" i="11"/>
  <c r="L31" i="11"/>
  <c r="L75" i="4"/>
  <c r="L77" i="4" s="1"/>
  <c r="F52" i="11"/>
  <c r="D15" i="11"/>
  <c r="L27" i="11" l="1"/>
  <c r="L28" i="11" s="1"/>
  <c r="L33" i="11"/>
  <c r="O44" i="11"/>
  <c r="P44" i="11"/>
  <c r="O31" i="11"/>
  <c r="U28" i="4"/>
  <c r="V34" i="11"/>
  <c r="V28" i="4" s="1"/>
  <c r="O75" i="4"/>
  <c r="O77" i="4" s="1"/>
  <c r="R29" i="11"/>
  <c r="S29" i="11" s="1"/>
  <c r="T29" i="11" s="1"/>
  <c r="U29" i="11" s="1"/>
  <c r="V29" i="11" s="1"/>
  <c r="W29" i="11" s="1"/>
  <c r="O34" i="4"/>
  <c r="O46" i="4" s="1"/>
  <c r="O69" i="4"/>
  <c r="O51" i="11"/>
  <c r="O52" i="11" s="1"/>
  <c r="O64" i="4"/>
  <c r="O66" i="4"/>
  <c r="O54" i="11" s="1"/>
  <c r="O55" i="11" s="1"/>
  <c r="O26" i="11"/>
  <c r="O45" i="11"/>
  <c r="O46" i="11" s="1"/>
  <c r="O48" i="11"/>
  <c r="N39" i="11"/>
  <c r="O50" i="11"/>
  <c r="V7" i="4"/>
  <c r="V20" i="11" s="1"/>
  <c r="V19" i="11"/>
  <c r="W6" i="4"/>
  <c r="L54" i="11"/>
  <c r="L55" i="11" s="1"/>
  <c r="L39" i="11"/>
  <c r="W34" i="11" l="1"/>
  <c r="W28" i="4" s="1"/>
  <c r="W19" i="11"/>
  <c r="W7" i="4"/>
  <c r="W20" i="11" s="1"/>
  <c r="H72" i="11"/>
  <c r="K72" i="11"/>
  <c r="G72" i="11"/>
  <c r="I72" i="11"/>
  <c r="J72" i="11"/>
  <c r="F72" i="11"/>
  <c r="E72" i="11"/>
  <c r="O39" i="11"/>
  <c r="W89" i="4"/>
  <c r="V89" i="4"/>
  <c r="B2" i="12"/>
  <c r="B2" i="6"/>
  <c r="D10" i="11"/>
  <c r="D65" i="11" s="1"/>
  <c r="B2" i="1"/>
  <c r="B2" i="11"/>
  <c r="E67" i="11" l="1"/>
  <c r="K67" i="11"/>
  <c r="L67" i="11" s="1"/>
  <c r="J67" i="11"/>
  <c r="H67" i="11"/>
  <c r="G67" i="11"/>
  <c r="F67" i="11"/>
  <c r="I67" i="11"/>
  <c r="E75" i="4" l="1"/>
  <c r="B2" i="4"/>
  <c r="D4" i="4"/>
  <c r="D21" i="1" l="1"/>
  <c r="Q36" i="4" l="1"/>
  <c r="R36" i="4" s="1"/>
  <c r="S36" i="4" s="1"/>
  <c r="T36" i="4" s="1"/>
  <c r="U36" i="4" s="1"/>
  <c r="Q37" i="4"/>
  <c r="R37" i="4" s="1"/>
  <c r="S37" i="4" s="1"/>
  <c r="T37" i="4" s="1"/>
  <c r="U37" i="4" s="1"/>
  <c r="V37" i="4" s="1"/>
  <c r="W37" i="4" s="1"/>
  <c r="Q39" i="4"/>
  <c r="R39" i="4" s="1"/>
  <c r="S39" i="4" s="1"/>
  <c r="T39" i="4" s="1"/>
  <c r="U39" i="4" s="1"/>
  <c r="V39" i="4" s="1"/>
  <c r="W39" i="4" s="1"/>
  <c r="Q38" i="4"/>
  <c r="R38" i="4" s="1"/>
  <c r="S38" i="4" s="1"/>
  <c r="T38" i="4" s="1"/>
  <c r="U38" i="4" s="1"/>
  <c r="V38" i="4" s="1"/>
  <c r="W38" i="4" s="1"/>
  <c r="Q31" i="4"/>
  <c r="R31" i="4" s="1"/>
  <c r="S31" i="4" s="1"/>
  <c r="T31" i="4" s="1"/>
  <c r="U31" i="4" s="1"/>
  <c r="V31" i="4" s="1"/>
  <c r="W31" i="4" s="1"/>
  <c r="Q25" i="4"/>
  <c r="R25" i="4" s="1"/>
  <c r="S25" i="4" s="1"/>
  <c r="T25" i="4" s="1"/>
  <c r="U25" i="4" s="1"/>
  <c r="V25" i="4" s="1"/>
  <c r="W25" i="4" s="1"/>
  <c r="Q29" i="4"/>
  <c r="R29" i="4" s="1"/>
  <c r="S29" i="4" s="1"/>
  <c r="T29" i="4" s="1"/>
  <c r="U29" i="4" s="1"/>
  <c r="V29" i="4" s="1"/>
  <c r="W29" i="4" s="1"/>
  <c r="Q17" i="4"/>
  <c r="R17" i="4" s="1"/>
  <c r="S17" i="4" s="1"/>
  <c r="T17" i="4" s="1"/>
  <c r="U17" i="4" s="1"/>
  <c r="V17" i="4" s="1"/>
  <c r="W17" i="4" s="1"/>
  <c r="M19" i="11"/>
  <c r="Q15" i="4"/>
  <c r="R15" i="4" s="1"/>
  <c r="S15" i="4" s="1"/>
  <c r="T15" i="4" s="1"/>
  <c r="U15" i="4" s="1"/>
  <c r="V15" i="4" s="1"/>
  <c r="W15" i="4" s="1"/>
  <c r="Q14" i="4"/>
  <c r="R14" i="4" s="1"/>
  <c r="S14" i="4" s="1"/>
  <c r="T14" i="4" s="1"/>
  <c r="U14" i="4" s="1"/>
  <c r="V14" i="4" s="1"/>
  <c r="W14" i="4" s="1"/>
  <c r="E49" i="11"/>
  <c r="G48" i="11"/>
  <c r="E47" i="11"/>
  <c r="E48" i="11" s="1"/>
  <c r="E73" i="4"/>
  <c r="E77" i="4" s="1"/>
  <c r="D22" i="1"/>
  <c r="D23" i="1" s="1"/>
  <c r="V36" i="4" l="1"/>
  <c r="W36" i="4" s="1"/>
  <c r="H48" i="11"/>
  <c r="E50" i="11"/>
  <c r="E61" i="4"/>
  <c r="E36" i="11" l="1"/>
  <c r="E66" i="4"/>
  <c r="E54" i="11" s="1"/>
  <c r="E55" i="11" s="1"/>
  <c r="E64" i="4"/>
  <c r="E69" i="4"/>
  <c r="N19" i="11"/>
  <c r="H50" i="11"/>
  <c r="I48" i="11"/>
  <c r="O19" i="11"/>
  <c r="N20" i="11"/>
  <c r="N29" i="11" s="1"/>
  <c r="E51" i="11"/>
  <c r="G50" i="11"/>
  <c r="N33" i="11" l="1"/>
  <c r="N32" i="11"/>
  <c r="E52" i="11"/>
  <c r="O20" i="11"/>
  <c r="O29" i="11" s="1"/>
  <c r="O33" i="11" l="1"/>
  <c r="Q33" i="11" s="1"/>
  <c r="R33" i="11" s="1"/>
  <c r="S33" i="11" s="1"/>
  <c r="T33" i="11" s="1"/>
  <c r="U33" i="11" s="1"/>
  <c r="V33" i="11" s="1"/>
  <c r="W33" i="11" s="1"/>
  <c r="O32" i="11"/>
  <c r="Q32" i="11" s="1"/>
  <c r="R32" i="11" s="1"/>
  <c r="S32" i="11" s="1"/>
  <c r="T32" i="11" s="1"/>
  <c r="U32" i="11" s="1"/>
  <c r="V32" i="11" s="1"/>
  <c r="W32" i="11" s="1"/>
  <c r="Q19" i="11"/>
  <c r="I50" i="11"/>
  <c r="R19" i="11"/>
  <c r="Q7" i="4"/>
  <c r="Q20" i="11" s="1"/>
  <c r="G52" i="11"/>
  <c r="F69" i="11" l="1"/>
  <c r="E69" i="11"/>
  <c r="Q25" i="11"/>
  <c r="Q51" i="4"/>
  <c r="Q52" i="4" s="1"/>
  <c r="Q43" i="11"/>
  <c r="R24" i="11" s="1"/>
  <c r="R50" i="4" s="1"/>
  <c r="R28" i="11" s="1"/>
  <c r="Q28" i="4"/>
  <c r="Q89" i="4" s="1"/>
  <c r="H52" i="11"/>
  <c r="R7" i="4"/>
  <c r="R20" i="11" s="1"/>
  <c r="Q44" i="11" l="1"/>
  <c r="Q37" i="11"/>
  <c r="S19" i="11"/>
  <c r="Q45" i="11"/>
  <c r="Q46" i="11" s="1"/>
  <c r="Q55" i="4"/>
  <c r="Q47" i="11" s="1"/>
  <c r="H12" i="11" s="1"/>
  <c r="R25" i="11"/>
  <c r="R51" i="4"/>
  <c r="R52" i="4" s="1"/>
  <c r="R43" i="11"/>
  <c r="R44" i="11" s="1"/>
  <c r="R28" i="4"/>
  <c r="R89" i="4" s="1"/>
  <c r="S50" i="4"/>
  <c r="I52" i="11"/>
  <c r="S7" i="4"/>
  <c r="S20" i="11" s="1"/>
  <c r="Q48" i="11" l="1"/>
  <c r="G69" i="11"/>
  <c r="R55" i="4"/>
  <c r="R47" i="11" s="1"/>
  <c r="R45" i="11"/>
  <c r="R46" i="11" s="1"/>
  <c r="S25" i="11"/>
  <c r="S51" i="4"/>
  <c r="S52" i="4" s="1"/>
  <c r="S43" i="11"/>
  <c r="T19" i="11"/>
  <c r="J69" i="11" s="1"/>
  <c r="T28" i="4"/>
  <c r="S28" i="4"/>
  <c r="S89" i="4" s="1"/>
  <c r="T50" i="4"/>
  <c r="T7" i="4"/>
  <c r="T20" i="11" s="1"/>
  <c r="R48" i="11" l="1"/>
  <c r="H13" i="11"/>
  <c r="S44" i="11"/>
  <c r="S27" i="11"/>
  <c r="H69" i="11"/>
  <c r="L69" i="11"/>
  <c r="I69" i="11"/>
  <c r="K69" i="11"/>
  <c r="U89" i="4"/>
  <c r="T51" i="4"/>
  <c r="T52" i="4" s="1"/>
  <c r="U50" i="4"/>
  <c r="E61" i="11"/>
  <c r="F61" i="11"/>
  <c r="F57" i="11"/>
  <c r="G61" i="11"/>
  <c r="G57" i="11"/>
  <c r="H61" i="11"/>
  <c r="H57" i="11"/>
  <c r="I61" i="11"/>
  <c r="J61" i="11"/>
  <c r="I57" i="11"/>
  <c r="J57" i="11"/>
  <c r="K61" i="11"/>
  <c r="K57" i="11"/>
  <c r="L61" i="11"/>
  <c r="L57" i="11"/>
  <c r="E57" i="11"/>
  <c r="S45" i="11"/>
  <c r="S46" i="11" s="1"/>
  <c r="T89" i="4"/>
  <c r="T25" i="11"/>
  <c r="I13" i="12"/>
  <c r="I18" i="12" s="1"/>
  <c r="I19" i="12" s="1"/>
  <c r="T43" i="11"/>
  <c r="T27" i="11" s="1"/>
  <c r="S53" i="4" l="1"/>
  <c r="S55" i="4" s="1"/>
  <c r="S47" i="11" s="1"/>
  <c r="S28" i="11"/>
  <c r="T53" i="4"/>
  <c r="T55" i="4" s="1"/>
  <c r="T47" i="11" s="1"/>
  <c r="T48" i="11" s="1"/>
  <c r="T28" i="11"/>
  <c r="U25" i="11"/>
  <c r="U43" i="11"/>
  <c r="U27" i="11" s="1"/>
  <c r="V50" i="4"/>
  <c r="U51" i="4"/>
  <c r="U52" i="4" s="1"/>
  <c r="U13" i="4"/>
  <c r="T37" i="11"/>
  <c r="T79" i="4" s="1"/>
  <c r="T44" i="11"/>
  <c r="T45" i="11"/>
  <c r="T46" i="11" s="1"/>
  <c r="Q13" i="4"/>
  <c r="S48" i="11" l="1"/>
  <c r="H14" i="11"/>
  <c r="U53" i="4"/>
  <c r="U24" i="4" s="1"/>
  <c r="U27" i="4" s="1"/>
  <c r="U32" i="4" s="1"/>
  <c r="U28" i="11"/>
  <c r="U45" i="11"/>
  <c r="U46" i="11" s="1"/>
  <c r="U44" i="11"/>
  <c r="U37" i="11"/>
  <c r="U79" i="4" s="1"/>
  <c r="U85" i="4" s="1"/>
  <c r="V43" i="11"/>
  <c r="V27" i="11" s="1"/>
  <c r="W50" i="4"/>
  <c r="V25" i="11"/>
  <c r="V51" i="4"/>
  <c r="V52" i="4" s="1"/>
  <c r="V45" i="11" s="1"/>
  <c r="V13" i="4"/>
  <c r="R13" i="4"/>
  <c r="V46" i="11" l="1"/>
  <c r="V53" i="4"/>
  <c r="V24" i="4" s="1"/>
  <c r="V27" i="4" s="1"/>
  <c r="V32" i="4" s="1"/>
  <c r="V28" i="11"/>
  <c r="U55" i="4"/>
  <c r="U47" i="11" s="1"/>
  <c r="U48" i="11" s="1"/>
  <c r="W13" i="4"/>
  <c r="W25" i="11"/>
  <c r="W43" i="11"/>
  <c r="W27" i="11" s="1"/>
  <c r="W51" i="4"/>
  <c r="W52" i="4" s="1"/>
  <c r="V44" i="11"/>
  <c r="V37" i="11"/>
  <c r="V79" i="4" s="1"/>
  <c r="V85" i="4" s="1"/>
  <c r="V55" i="4"/>
  <c r="V47" i="11" s="1"/>
  <c r="V48" i="11" s="1"/>
  <c r="Q79" i="4"/>
  <c r="Q85" i="4" s="1"/>
  <c r="W53" i="4" l="1"/>
  <c r="W24" i="4" s="1"/>
  <c r="W27" i="4" s="1"/>
  <c r="W32" i="4" s="1"/>
  <c r="W28" i="11"/>
  <c r="W45" i="11"/>
  <c r="W46" i="11" s="1"/>
  <c r="W44" i="11"/>
  <c r="W37" i="11"/>
  <c r="W79" i="4" s="1"/>
  <c r="W85" i="4" s="1"/>
  <c r="V74" i="4"/>
  <c r="J73" i="11" s="1"/>
  <c r="R37" i="11"/>
  <c r="S13" i="4"/>
  <c r="W74" i="4" l="1"/>
  <c r="K73" i="11" s="1"/>
  <c r="W55" i="4"/>
  <c r="W47" i="11" s="1"/>
  <c r="W48" i="11" s="1"/>
  <c r="R79" i="4"/>
  <c r="R85" i="4" s="1"/>
  <c r="S37" i="11"/>
  <c r="T13" i="4"/>
  <c r="T85" i="4" l="1"/>
  <c r="S79" i="4"/>
  <c r="S85" i="4" s="1"/>
  <c r="E71" i="11" l="1"/>
  <c r="Q19" i="4" l="1"/>
  <c r="Q75" i="4"/>
  <c r="R56" i="4" l="1"/>
  <c r="R19" i="4" s="1"/>
  <c r="S56" i="4" s="1"/>
  <c r="F71" i="11" l="1"/>
  <c r="G71" i="11"/>
  <c r="R75" i="4"/>
  <c r="S19" i="4" l="1"/>
  <c r="S75" i="4"/>
  <c r="T56" i="4" l="1"/>
  <c r="T19" i="4" s="1"/>
  <c r="H71" i="11" l="1"/>
  <c r="T75" i="4"/>
  <c r="U56" i="4"/>
  <c r="U57" i="4" s="1"/>
  <c r="K48" i="11"/>
  <c r="K50" i="11"/>
  <c r="Q24" i="4"/>
  <c r="Q27" i="4" s="1"/>
  <c r="Q32" i="4" s="1"/>
  <c r="R24" i="4"/>
  <c r="R27" i="4" s="1"/>
  <c r="R32" i="4" s="1"/>
  <c r="S24" i="4"/>
  <c r="S27" i="4" s="1"/>
  <c r="S32" i="4" s="1"/>
  <c r="T24" i="4"/>
  <c r="Q57" i="4"/>
  <c r="E68" i="11" s="1"/>
  <c r="R57" i="4"/>
  <c r="S57" i="4"/>
  <c r="G68" i="11" s="1"/>
  <c r="T57" i="4"/>
  <c r="H68" i="11" s="1"/>
  <c r="L48" i="11"/>
  <c r="U75" i="4" l="1"/>
  <c r="U19" i="4"/>
  <c r="V56" i="4" s="1"/>
  <c r="I71" i="11"/>
  <c r="F68" i="11"/>
  <c r="F70" i="11" s="1"/>
  <c r="I68" i="11"/>
  <c r="I70" i="11" s="1"/>
  <c r="U49" i="11"/>
  <c r="T27" i="4"/>
  <c r="T32" i="4" s="1"/>
  <c r="U74" i="4"/>
  <c r="I73" i="11" s="1"/>
  <c r="U73" i="4"/>
  <c r="H70" i="11"/>
  <c r="E70" i="11"/>
  <c r="G70" i="11"/>
  <c r="M57" i="11"/>
  <c r="R49" i="11"/>
  <c r="H10" i="11" s="1"/>
  <c r="T74" i="4"/>
  <c r="H73" i="11" s="1"/>
  <c r="R74" i="4"/>
  <c r="F73" i="11" s="1"/>
  <c r="Q74" i="4"/>
  <c r="E73" i="11" s="1"/>
  <c r="T73" i="4"/>
  <c r="T49" i="11"/>
  <c r="T57" i="11" s="1"/>
  <c r="S73" i="4"/>
  <c r="S49" i="11"/>
  <c r="H11" i="11" s="1"/>
  <c r="Q73" i="4"/>
  <c r="Q49" i="11"/>
  <c r="H9" i="11" s="1"/>
  <c r="L50" i="11"/>
  <c r="R73" i="4"/>
  <c r="S74" i="4"/>
  <c r="G73" i="11" s="1"/>
  <c r="K52" i="11"/>
  <c r="Q57" i="11" l="1"/>
  <c r="R57" i="11"/>
  <c r="S57" i="11"/>
  <c r="U57" i="11"/>
  <c r="U50" i="11"/>
  <c r="V19" i="4"/>
  <c r="W56" i="4" s="1"/>
  <c r="J71" i="11"/>
  <c r="F74" i="11"/>
  <c r="E74" i="11"/>
  <c r="G74" i="11"/>
  <c r="H74" i="11"/>
  <c r="V75" i="4"/>
  <c r="V57" i="4"/>
  <c r="O57" i="11"/>
  <c r="N57" i="11"/>
  <c r="Q50" i="11"/>
  <c r="S50" i="11"/>
  <c r="I74" i="11"/>
  <c r="T50" i="11"/>
  <c r="R50" i="11"/>
  <c r="W19" i="4" l="1"/>
  <c r="V49" i="11"/>
  <c r="J68" i="11"/>
  <c r="J70" i="11" s="1"/>
  <c r="J74" i="11" s="1"/>
  <c r="V73" i="4"/>
  <c r="V57" i="11" l="1"/>
  <c r="V50" i="11"/>
  <c r="K71" i="11"/>
  <c r="W75" i="4"/>
  <c r="W57" i="4"/>
  <c r="L52" i="11"/>
  <c r="W49" i="11" l="1"/>
  <c r="K68" i="11"/>
  <c r="W73" i="4"/>
  <c r="I21" i="12"/>
  <c r="I22" i="12" s="1"/>
  <c r="I24" i="12" s="1"/>
  <c r="I25" i="12" s="1"/>
  <c r="D8" i="11" s="1"/>
  <c r="L68" i="11" l="1"/>
  <c r="K70" i="11"/>
  <c r="K74" i="11" s="1"/>
  <c r="K76" i="11" s="1"/>
  <c r="W57" i="11"/>
  <c r="W50" i="11"/>
  <c r="H76" i="11"/>
  <c r="E76" i="11"/>
  <c r="I76" i="11"/>
  <c r="F76" i="11"/>
  <c r="G76" i="11"/>
  <c r="J76" i="11"/>
  <c r="R30" i="11"/>
  <c r="Q58" i="4"/>
  <c r="L72" i="11" l="1"/>
  <c r="L73" i="11"/>
  <c r="L71" i="11"/>
  <c r="L70" i="11"/>
  <c r="S30" i="11"/>
  <c r="R58" i="4"/>
  <c r="Q59" i="4"/>
  <c r="Q77" i="4"/>
  <c r="E7" i="6"/>
  <c r="L74" i="11" l="1"/>
  <c r="L75" i="11" s="1"/>
  <c r="L76" i="11" s="1"/>
  <c r="Q60" i="4"/>
  <c r="Q76" i="4" s="1"/>
  <c r="Q78" i="4" s="1"/>
  <c r="R59" i="4"/>
  <c r="R77" i="4"/>
  <c r="T30" i="11"/>
  <c r="S58" i="4"/>
  <c r="L9" i="11" l="1"/>
  <c r="O58" i="11" s="1"/>
  <c r="C78" i="11"/>
  <c r="K58" i="11"/>
  <c r="F58" i="11"/>
  <c r="J58" i="11"/>
  <c r="R58" i="11"/>
  <c r="L14" i="11"/>
  <c r="L16" i="11" s="1"/>
  <c r="T58" i="4"/>
  <c r="T77" i="4" s="1"/>
  <c r="U30" i="11"/>
  <c r="Q61" i="4"/>
  <c r="Q66" i="4" s="1"/>
  <c r="Q54" i="11" s="1"/>
  <c r="Q55" i="11" s="1"/>
  <c r="S59" i="4"/>
  <c r="S77" i="4"/>
  <c r="R60" i="4"/>
  <c r="R76" i="4" s="1"/>
  <c r="R78" i="4" s="1"/>
  <c r="Q61" i="11"/>
  <c r="Q60" i="11"/>
  <c r="H58" i="11" l="1"/>
  <c r="V58" i="11"/>
  <c r="M58" i="11"/>
  <c r="G58" i="11"/>
  <c r="T58" i="11"/>
  <c r="N58" i="11"/>
  <c r="U58" i="11"/>
  <c r="S58" i="11"/>
  <c r="L58" i="11"/>
  <c r="E58" i="11"/>
  <c r="Q58" i="11"/>
  <c r="W58" i="11"/>
  <c r="P58" i="11"/>
  <c r="I58" i="11"/>
  <c r="D16" i="11"/>
  <c r="D17" i="11" s="1"/>
  <c r="P12" i="11"/>
  <c r="P11" i="11"/>
  <c r="Q51" i="11"/>
  <c r="Q90" i="4"/>
  <c r="Q92" i="4" s="1"/>
  <c r="Q95" i="4" s="1"/>
  <c r="P10" i="11"/>
  <c r="Q64" i="4"/>
  <c r="T59" i="4"/>
  <c r="T60" i="4" s="1"/>
  <c r="T76" i="4" s="1"/>
  <c r="T78" i="4" s="1"/>
  <c r="V30" i="11"/>
  <c r="U58" i="4"/>
  <c r="R61" i="4"/>
  <c r="R64" i="4" s="1"/>
  <c r="R61" i="11"/>
  <c r="R60" i="11"/>
  <c r="S60" i="4"/>
  <c r="S76" i="4" s="1"/>
  <c r="S78" i="4" s="1"/>
  <c r="Q52" i="11" l="1"/>
  <c r="H15" i="11"/>
  <c r="R51" i="11"/>
  <c r="R90" i="4"/>
  <c r="R92" i="4" s="1"/>
  <c r="R95" i="4" s="1"/>
  <c r="W30" i="11"/>
  <c r="W58" i="4" s="1"/>
  <c r="V58" i="4"/>
  <c r="U77" i="4"/>
  <c r="U59" i="4"/>
  <c r="R66" i="4"/>
  <c r="R54" i="11" s="1"/>
  <c r="R55" i="11" s="1"/>
  <c r="T60" i="11"/>
  <c r="T61" i="11"/>
  <c r="S60" i="11"/>
  <c r="S61" i="11"/>
  <c r="T61" i="4"/>
  <c r="Q40" i="4"/>
  <c r="S61" i="4"/>
  <c r="R52" i="11" l="1"/>
  <c r="H16" i="11"/>
  <c r="U60" i="4"/>
  <c r="U76" i="4" s="1"/>
  <c r="U78" i="4" s="1"/>
  <c r="V77" i="4"/>
  <c r="V59" i="4"/>
  <c r="W77" i="4"/>
  <c r="W59" i="4"/>
  <c r="Q41" i="4"/>
  <c r="Q44" i="4" s="1"/>
  <c r="R40" i="4"/>
  <c r="T66" i="4"/>
  <c r="T54" i="11" s="1"/>
  <c r="T55" i="11" s="1"/>
  <c r="T64" i="4"/>
  <c r="T51" i="11"/>
  <c r="T52" i="11" s="1"/>
  <c r="T90" i="4"/>
  <c r="T92" i="4" s="1"/>
  <c r="T95" i="4" s="1"/>
  <c r="S64" i="4"/>
  <c r="S51" i="11"/>
  <c r="S90" i="4"/>
  <c r="S92" i="4" s="1"/>
  <c r="S95" i="4" s="1"/>
  <c r="S66" i="4"/>
  <c r="S54" i="11" s="1"/>
  <c r="S55" i="11" s="1"/>
  <c r="S52" i="11" l="1"/>
  <c r="H17" i="11"/>
  <c r="U61" i="4"/>
  <c r="U51" i="11" s="1"/>
  <c r="U52" i="11" s="1"/>
  <c r="W60" i="4"/>
  <c r="W76" i="4" s="1"/>
  <c r="W78" i="4" s="1"/>
  <c r="V60" i="4"/>
  <c r="V76" i="4" s="1"/>
  <c r="V78" i="4" s="1"/>
  <c r="U61" i="11"/>
  <c r="U60" i="11"/>
  <c r="S40" i="4"/>
  <c r="R41" i="4"/>
  <c r="R44" i="4" s="1"/>
  <c r="U66" i="4" l="1"/>
  <c r="U54" i="11" s="1"/>
  <c r="U55" i="11" s="1"/>
  <c r="U64" i="4"/>
  <c r="U90" i="4"/>
  <c r="U92" i="4" s="1"/>
  <c r="U95" i="4" s="1"/>
  <c r="W61" i="4"/>
  <c r="W90" i="4" s="1"/>
  <c r="W92" i="4" s="1"/>
  <c r="W95" i="4" s="1"/>
  <c r="V61" i="4"/>
  <c r="V66" i="4" s="1"/>
  <c r="V54" i="11" s="1"/>
  <c r="V55" i="11" s="1"/>
  <c r="V60" i="11"/>
  <c r="V61" i="11"/>
  <c r="W60" i="11"/>
  <c r="W61" i="11"/>
  <c r="T40" i="4"/>
  <c r="S41" i="4"/>
  <c r="S44" i="4" s="1"/>
  <c r="V51" i="11" l="1"/>
  <c r="V52" i="11" s="1"/>
  <c r="V90" i="4"/>
  <c r="V92" i="4" s="1"/>
  <c r="V95" i="4" s="1"/>
  <c r="W66" i="4"/>
  <c r="W54" i="11" s="1"/>
  <c r="W55" i="11" s="1"/>
  <c r="W64" i="4"/>
  <c r="W51" i="11"/>
  <c r="W52" i="11" s="1"/>
  <c r="V64" i="4"/>
  <c r="T41" i="4"/>
  <c r="T44" i="4" s="1"/>
  <c r="U40" i="4"/>
  <c r="V40" i="4" l="1"/>
  <c r="U41" i="4"/>
  <c r="U44" i="4" s="1"/>
  <c r="Q94" i="4"/>
  <c r="Q97" i="4" s="1"/>
  <c r="Q12" i="4" s="1"/>
  <c r="M60" i="11"/>
  <c r="N60" i="11"/>
  <c r="O60" i="11"/>
  <c r="M61" i="11"/>
  <c r="N61" i="11"/>
  <c r="O61" i="11"/>
  <c r="V41" i="4" l="1"/>
  <c r="V44" i="4" s="1"/>
  <c r="W40" i="4"/>
  <c r="W41" i="4" s="1"/>
  <c r="W44" i="4" s="1"/>
  <c r="R94" i="4"/>
  <c r="R97" i="4" s="1"/>
  <c r="R12" i="4" s="1"/>
  <c r="Q99" i="4"/>
  <c r="Q100" i="4" s="1"/>
  <c r="Q35" i="11"/>
  <c r="Q16" i="4"/>
  <c r="Q22" i="4" s="1"/>
  <c r="Q34" i="4" s="1"/>
  <c r="Q46" i="4" s="1"/>
  <c r="S94" i="4" l="1"/>
  <c r="S97" i="4" s="1"/>
  <c r="T94" i="4" s="1"/>
  <c r="T97" i="4" s="1"/>
  <c r="R99" i="4"/>
  <c r="R100" i="4" s="1"/>
  <c r="E8" i="6" s="1"/>
  <c r="R35" i="11"/>
  <c r="R16" i="4"/>
  <c r="R22" i="4" s="1"/>
  <c r="R34" i="4" s="1"/>
  <c r="R46" i="4" s="1"/>
  <c r="E6" i="6" s="1"/>
  <c r="Q39" i="11"/>
  <c r="E10" i="6" l="1"/>
  <c r="B3" i="4" s="1"/>
  <c r="S12" i="4"/>
  <c r="U94" i="4"/>
  <c r="U97" i="4" s="1"/>
  <c r="T12" i="4"/>
  <c r="R39" i="11"/>
  <c r="B3" i="11" l="1"/>
  <c r="S16" i="4"/>
  <c r="S22" i="4" s="1"/>
  <c r="S34" i="4" s="1"/>
  <c r="S46" i="4" s="1"/>
  <c r="B3" i="6"/>
  <c r="B3" i="1"/>
  <c r="B3" i="12"/>
  <c r="S99" i="4"/>
  <c r="S100" i="4" s="1"/>
  <c r="S35" i="11"/>
  <c r="T16" i="4"/>
  <c r="T22" i="4" s="1"/>
  <c r="T34" i="4" s="1"/>
  <c r="T46" i="4" s="1"/>
  <c r="T99" i="4"/>
  <c r="T100" i="4" s="1"/>
  <c r="T35" i="11"/>
  <c r="V94" i="4"/>
  <c r="V97" i="4" s="1"/>
  <c r="U12" i="4"/>
  <c r="S39" i="11" l="1"/>
  <c r="U35" i="11"/>
  <c r="V12" i="4"/>
  <c r="W94" i="4"/>
  <c r="W97" i="4" s="1"/>
  <c r="W12" i="4" s="1"/>
  <c r="T39" i="11"/>
  <c r="U16" i="4"/>
  <c r="U22" i="4" s="1"/>
  <c r="U34" i="4" s="1"/>
  <c r="U46" i="4" s="1"/>
  <c r="U99" i="4"/>
  <c r="U100" i="4" s="1"/>
  <c r="U39" i="11" l="1"/>
  <c r="W35" i="11"/>
  <c r="W99" i="4"/>
  <c r="W100" i="4" s="1"/>
  <c r="W16" i="4"/>
  <c r="W22" i="4" s="1"/>
  <c r="W34" i="4" s="1"/>
  <c r="W46" i="4" s="1"/>
  <c r="V35" i="11"/>
  <c r="V16" i="4"/>
  <c r="V22" i="4" s="1"/>
  <c r="V34" i="4" s="1"/>
  <c r="V46" i="4" s="1"/>
  <c r="V99" i="4"/>
  <c r="V100" i="4" s="1"/>
  <c r="V39" i="11" l="1"/>
  <c r="W3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Moss</author>
  </authors>
  <commentList>
    <comment ref="E10" authorId="0" shapeId="0" xr:uid="{B50D12CF-7423-46FB-9FE4-A79E00D8E050}">
      <text>
        <r>
          <rPr>
            <sz val="9"/>
            <color indexed="81"/>
            <rFont val="Tahoma"/>
            <family val="2"/>
          </rPr>
          <t>https://www.marketwatch.com/investing/bond/tmbmkgb-20y?countrycode=bx</t>
        </r>
      </text>
    </comment>
    <comment ref="E11" authorId="0" shapeId="0" xr:uid="{0A4396EC-507E-4B26-A622-2DAEFE5A32FE}">
      <text>
        <r>
          <rPr>
            <sz val="9"/>
            <color indexed="81"/>
            <rFont val="Tahoma"/>
            <family val="2"/>
          </rPr>
          <t>https://pages.stern.nyu.edu/~adamodar/New_Home_Page/datafile/ctryprem.html</t>
        </r>
      </text>
    </comment>
    <comment ref="E16" authorId="0" shapeId="0" xr:uid="{6DE54F95-3D7C-4997-AA5D-DEBA6D36ACAB}">
      <text>
        <r>
          <rPr>
            <sz val="9"/>
            <color indexed="81"/>
            <rFont val="Tahoma"/>
            <family val="2"/>
          </rPr>
          <t>https://pages.stern.nyu.edu/~adamodar/New_Home_Page/datafile/Betas.html</t>
        </r>
      </text>
    </comment>
    <comment ref="E17" authorId="0" shapeId="0" xr:uid="{DD8E3227-1687-456B-B4E4-B05D8AF036CD}">
      <text>
        <r>
          <rPr>
            <b/>
            <sz val="9"/>
            <color indexed="81"/>
            <rFont val="Tahoma"/>
            <family val="2"/>
          </rPr>
          <t>https://aswathdamodaran.blogspot.com/2015/04/the-small-cap-premium-fact-fiction-and.html</t>
        </r>
      </text>
    </comment>
  </commentList>
</comments>
</file>

<file path=xl/sharedStrings.xml><?xml version="1.0" encoding="utf-8"?>
<sst xmlns="http://schemas.openxmlformats.org/spreadsheetml/2006/main" count="504" uniqueCount="317">
  <si>
    <t>Company name</t>
  </si>
  <si>
    <t>Ticker</t>
  </si>
  <si>
    <t>MODEL STRUCTURE</t>
  </si>
  <si>
    <t>Currency</t>
  </si>
  <si>
    <t>Company information</t>
  </si>
  <si>
    <t>Calendar</t>
  </si>
  <si>
    <t>Model date</t>
  </si>
  <si>
    <t>Q1 trading update</t>
  </si>
  <si>
    <t>Q3 trading update</t>
  </si>
  <si>
    <t>Full year results</t>
  </si>
  <si>
    <t>Half year results</t>
  </si>
  <si>
    <t>Reporting</t>
  </si>
  <si>
    <t>date</t>
  </si>
  <si>
    <t>Results</t>
  </si>
  <si>
    <t>FINANCIALS</t>
  </si>
  <si>
    <t>Date</t>
  </si>
  <si>
    <t>Trade &amp; other receivables</t>
  </si>
  <si>
    <t>Total assets</t>
  </si>
  <si>
    <t>Total liabilities</t>
  </si>
  <si>
    <t>Trade &amp; other payables</t>
  </si>
  <si>
    <t>Net assets</t>
  </si>
  <si>
    <t>Retained earnings</t>
  </si>
  <si>
    <t>Non-controlling interest</t>
  </si>
  <si>
    <t>Total equity</t>
  </si>
  <si>
    <t>Check</t>
  </si>
  <si>
    <t>CHECKS</t>
  </si>
  <si>
    <t>Financials - BS</t>
  </si>
  <si>
    <t>Financials - PnL</t>
  </si>
  <si>
    <t>Financials - CF</t>
  </si>
  <si>
    <t>Last HY results available</t>
  </si>
  <si>
    <t>P&amp;L</t>
  </si>
  <si>
    <t>BALANCE SHEET</t>
  </si>
  <si>
    <t>Revenue</t>
  </si>
  <si>
    <t>Cost of sales</t>
  </si>
  <si>
    <t>Gross profit</t>
  </si>
  <si>
    <t>Admin expenses exc. D&amp;A</t>
  </si>
  <si>
    <t>EBITDA</t>
  </si>
  <si>
    <t>Depreciation &amp; Amortisation</t>
  </si>
  <si>
    <t>EBIT</t>
  </si>
  <si>
    <t>Profit before tax</t>
  </si>
  <si>
    <t>Tax</t>
  </si>
  <si>
    <t>Profit for the period</t>
  </si>
  <si>
    <t>Expected value</t>
  </si>
  <si>
    <t>Months in period</t>
  </si>
  <si>
    <t>Interest expense</t>
  </si>
  <si>
    <t>CASHFLOW</t>
  </si>
  <si>
    <t>Other</t>
  </si>
  <si>
    <t>Operating profit</t>
  </si>
  <si>
    <t>Depreciation &amp; amortisation</t>
  </si>
  <si>
    <t>Tax paid</t>
  </si>
  <si>
    <t>Acquisitions</t>
  </si>
  <si>
    <t>Interest paid</t>
  </si>
  <si>
    <t>Share buyback</t>
  </si>
  <si>
    <t>Revenue growth YoY %</t>
  </si>
  <si>
    <t>Effective tax rate %</t>
  </si>
  <si>
    <t>Receivables days</t>
  </si>
  <si>
    <t>Payables days</t>
  </si>
  <si>
    <t>Dividend payout ratio %</t>
  </si>
  <si>
    <t>CAPEX spend</t>
  </si>
  <si>
    <t>WACC</t>
  </si>
  <si>
    <t>Unlevered Beta</t>
  </si>
  <si>
    <t>D/E Ratio</t>
  </si>
  <si>
    <t>Tax Rate</t>
  </si>
  <si>
    <t>Levered Beta</t>
  </si>
  <si>
    <t>Rf</t>
  </si>
  <si>
    <t>ERP</t>
  </si>
  <si>
    <t>Small Cap Premum</t>
  </si>
  <si>
    <t>Ke</t>
  </si>
  <si>
    <t>Selected Ke</t>
  </si>
  <si>
    <t>Kd</t>
  </si>
  <si>
    <t>Post-tax Kd</t>
  </si>
  <si>
    <t>Selected WACC</t>
  </si>
  <si>
    <t>Risk free rate</t>
  </si>
  <si>
    <t>Equity risk premium</t>
  </si>
  <si>
    <t>Cost of debt</t>
  </si>
  <si>
    <t>Discount Rate</t>
  </si>
  <si>
    <t>Perpetural Growth Rate</t>
  </si>
  <si>
    <t>Valuation Date</t>
  </si>
  <si>
    <t>Shares Outstanding</t>
  </si>
  <si>
    <t>Entry</t>
  </si>
  <si>
    <t>Terminal</t>
  </si>
  <si>
    <t>Year Fraction</t>
  </si>
  <si>
    <t>Less: Cash Taxes</t>
  </si>
  <si>
    <t>Plus: D&amp;A</t>
  </si>
  <si>
    <t>Less: Capex</t>
  </si>
  <si>
    <t>Less: Changes in NWC</t>
  </si>
  <si>
    <t>Market Value vs Intrinsic Value</t>
  </si>
  <si>
    <t>Unlevered FCF</t>
  </si>
  <si>
    <t>Market Value</t>
  </si>
  <si>
    <t>Intrinsic Value</t>
  </si>
  <si>
    <t>Enterprise Value</t>
  </si>
  <si>
    <t>Less: net debt</t>
  </si>
  <si>
    <t>Equity Value</t>
  </si>
  <si>
    <t>Equity Value/Share</t>
  </si>
  <si>
    <t>Inputs</t>
  </si>
  <si>
    <t>Tax rate for WACC</t>
  </si>
  <si>
    <t>Unlevered beta - low</t>
  </si>
  <si>
    <t>Small cap premium</t>
  </si>
  <si>
    <t>Balance sheet date</t>
  </si>
  <si>
    <t>Terminal value</t>
  </si>
  <si>
    <t>Discounted cashflow</t>
  </si>
  <si>
    <t>Upside (p)</t>
  </si>
  <si>
    <t>Upside %</t>
  </si>
  <si>
    <t>30% margin of safety point</t>
  </si>
  <si>
    <t>Valuation date</t>
  </si>
  <si>
    <t>Perpetual bonds</t>
  </si>
  <si>
    <t>Add: non-operating assets</t>
  </si>
  <si>
    <t>Less: non-operating liabilities</t>
  </si>
  <si>
    <t>Time period fraction</t>
  </si>
  <si>
    <t>Other adj. to equity value</t>
  </si>
  <si>
    <t>Current Price (p)</t>
  </si>
  <si>
    <t>SUMMARY</t>
  </si>
  <si>
    <t>DISCOUNT RATE</t>
  </si>
  <si>
    <t>Net profit margin %</t>
  </si>
  <si>
    <t>EBITDA margin %</t>
  </si>
  <si>
    <t>Price to earnings ratio</t>
  </si>
  <si>
    <t>EBIT margin %</t>
  </si>
  <si>
    <t>EV to EBIT ratio - actual</t>
  </si>
  <si>
    <t>EV to EBIT ratio - implied by valuation</t>
  </si>
  <si>
    <t>Margin of safety</t>
  </si>
  <si>
    <t>Current share price</t>
  </si>
  <si>
    <t>Tax rate</t>
  </si>
  <si>
    <t>DCF equity value per share</t>
  </si>
  <si>
    <t>Multiples</t>
  </si>
  <si>
    <t>EV/EBITDA (Current)</t>
  </si>
  <si>
    <t>EV/EBITDA (Y+2)</t>
  </si>
  <si>
    <t>EV/EBITDA (Y+1)</t>
  </si>
  <si>
    <t>EV/EBIT (Y+2)</t>
  </si>
  <si>
    <t>EV/EBIT (Y+1)</t>
  </si>
  <si>
    <t>EV/EBIT (Current)</t>
  </si>
  <si>
    <t>P/E (Current)</t>
  </si>
  <si>
    <t>P/E (Y+1)</t>
  </si>
  <si>
    <t>P/E (Y+2)</t>
  </si>
  <si>
    <t>QUANT VALUE INVESTING</t>
  </si>
  <si>
    <t>METRICS</t>
  </si>
  <si>
    <t>SUMMARY FINANCIALS</t>
  </si>
  <si>
    <t>Year</t>
  </si>
  <si>
    <t>Turnover</t>
  </si>
  <si>
    <t>Pre-tax profit</t>
  </si>
  <si>
    <t>-</t>
  </si>
  <si>
    <t>Post-tax profit</t>
  </si>
  <si>
    <t>Capex</t>
  </si>
  <si>
    <t>Free cash flow</t>
  </si>
  <si>
    <t>Net borrowing</t>
  </si>
  <si>
    <t>NAV</t>
  </si>
  <si>
    <t>Like for like sales growth %</t>
  </si>
  <si>
    <t>Period Ending</t>
  </si>
  <si>
    <t>Result Type</t>
  </si>
  <si>
    <t xml:space="preserve"> </t>
  </si>
  <si>
    <t>CASH FLOWS</t>
  </si>
  <si>
    <t>Net profit</t>
  </si>
  <si>
    <t>Deferred tax</t>
  </si>
  <si>
    <t>Share of associates &amp; JVs</t>
  </si>
  <si>
    <t>Change in stock</t>
  </si>
  <si>
    <t>Change in debtors</t>
  </si>
  <si>
    <t>Change in creditors</t>
  </si>
  <si>
    <t>Other changes</t>
  </si>
  <si>
    <t>Change in working capital</t>
  </si>
  <si>
    <t>Other (operating)</t>
  </si>
  <si>
    <t>Operating cash flow</t>
  </si>
  <si>
    <t>Net cash from operations</t>
  </si>
  <si>
    <t>Capital expenditure</t>
  </si>
  <si>
    <t>Sale of fixed assets</t>
  </si>
  <si>
    <t>Sale of businesses</t>
  </si>
  <si>
    <t>Purchase of investment property</t>
  </si>
  <si>
    <t>Sale of investment property</t>
  </si>
  <si>
    <t>Purchase of investment</t>
  </si>
  <si>
    <t>Sale of investment</t>
  </si>
  <si>
    <t>Other (investing)</t>
  </si>
  <si>
    <t>Net cash from investing</t>
  </si>
  <si>
    <t>New share issues</t>
  </si>
  <si>
    <t>New borrowing</t>
  </si>
  <si>
    <t>Repayment of borrowing</t>
  </si>
  <si>
    <t>Equity dividends paid</t>
  </si>
  <si>
    <t>Preferred dividends paid</t>
  </si>
  <si>
    <t>Dividends paid in cash</t>
  </si>
  <si>
    <t>Other (financing)</t>
  </si>
  <si>
    <t>Net cash from financing</t>
  </si>
  <si>
    <t>Net change in cash</t>
  </si>
  <si>
    <t>CASH BALANCE</t>
  </si>
  <si>
    <t>Opening balance</t>
  </si>
  <si>
    <t>Foreign exchange adjustments</t>
  </si>
  <si>
    <t>Closing balance</t>
  </si>
  <si>
    <t>FREE CASH FLOW</t>
  </si>
  <si>
    <t>Dividends from joint ventures</t>
  </si>
  <si>
    <t>Repayment of leases</t>
  </si>
  <si>
    <t>Other in/out flows of cash</t>
  </si>
  <si>
    <t>Free cash flow for firm (FCFf)</t>
  </si>
  <si>
    <t>Dividends paid to minorities</t>
  </si>
  <si>
    <t>Interest received</t>
  </si>
  <si>
    <t>Free cash flow (FCF)</t>
  </si>
  <si>
    <t>PER SHARE VALUES</t>
  </si>
  <si>
    <t>Operating cash flow ps (p)</t>
  </si>
  <si>
    <t>FCF ps (p)</t>
  </si>
  <si>
    <t>FCFf ps (p)</t>
  </si>
  <si>
    <t>Capex ps (p)</t>
  </si>
  <si>
    <t>ASSETS</t>
  </si>
  <si>
    <t>Debtors trade</t>
  </si>
  <si>
    <t>Debtors other</t>
  </si>
  <si>
    <t>Prepayments</t>
  </si>
  <si>
    <t>Debtors</t>
  </si>
  <si>
    <t>Debtors finance &amp; lease</t>
  </si>
  <si>
    <t>Tax assets</t>
  </si>
  <si>
    <t>Stock &amp; WIP</t>
  </si>
  <si>
    <t>Securities</t>
  </si>
  <si>
    <t>Cash &amp; equivalents</t>
  </si>
  <si>
    <t>Other current assets</t>
  </si>
  <si>
    <t>Current assets</t>
  </si>
  <si>
    <t>Goodwill</t>
  </si>
  <si>
    <t>Other intangibles</t>
  </si>
  <si>
    <t>Intangibles</t>
  </si>
  <si>
    <t>Tangibles</t>
  </si>
  <si>
    <t>Investments</t>
  </si>
  <si>
    <t>Other non-current assets</t>
  </si>
  <si>
    <t>Non-current assets</t>
  </si>
  <si>
    <t>LIABILITIES</t>
  </si>
  <si>
    <t>Short term borrowing</t>
  </si>
  <si>
    <t>Trade creditors</t>
  </si>
  <si>
    <t>Other current liabilities</t>
  </si>
  <si>
    <t>Current liabilities</t>
  </si>
  <si>
    <t>Long term borrowing</t>
  </si>
  <si>
    <t>Other provisions</t>
  </si>
  <si>
    <t>Pension liabilities</t>
  </si>
  <si>
    <t>Other non-current liabilities</t>
  </si>
  <si>
    <t>Non-current liabilities</t>
  </si>
  <si>
    <t>EQUITY</t>
  </si>
  <si>
    <t>Ordinary shares</t>
  </si>
  <si>
    <t>Preference shares</t>
  </si>
  <si>
    <t>Share capital</t>
  </si>
  <si>
    <t>Share premium</t>
  </si>
  <si>
    <t>Treasury shares</t>
  </si>
  <si>
    <t>Total retained profit</t>
  </si>
  <si>
    <t>Other reserves</t>
  </si>
  <si>
    <t>Shareholders funds (NAV)</t>
  </si>
  <si>
    <t>Minorities</t>
  </si>
  <si>
    <t>Total liabilities + equity</t>
  </si>
  <si>
    <t>BORROWING</t>
  </si>
  <si>
    <t>Long-term leases</t>
  </si>
  <si>
    <t>Long-term borrowing</t>
  </si>
  <si>
    <t>Current leases</t>
  </si>
  <si>
    <t>Current borrowing</t>
  </si>
  <si>
    <t>Total borrowing</t>
  </si>
  <si>
    <t>OTHER DETAILS</t>
  </si>
  <si>
    <t>NTAV</t>
  </si>
  <si>
    <t>NAV ps (p)</t>
  </si>
  <si>
    <t>NTAV ps (p)</t>
  </si>
  <si>
    <t>Preference consideration</t>
  </si>
  <si>
    <t>Working capital</t>
  </si>
  <si>
    <t>Pension deficit</t>
  </si>
  <si>
    <t>CONTINUOUS OPERATIONS</t>
  </si>
  <si>
    <t>Administrative expenses</t>
  </si>
  <si>
    <t>Operating profit (standardised)</t>
  </si>
  <si>
    <t>Interest paid (net)</t>
  </si>
  <si>
    <t>Other income/expense</t>
  </si>
  <si>
    <t>Taxation</t>
  </si>
  <si>
    <t>Extraordinary items</t>
  </si>
  <si>
    <t>Discontinued operations</t>
  </si>
  <si>
    <t>Profit for financial year</t>
  </si>
  <si>
    <t>EARNINGS BEFORE INTEREST &amp; TAX</t>
  </si>
  <si>
    <t>DISCONTINUED OPERATIONS</t>
  </si>
  <si>
    <t>Discontinued post-tax profit</t>
  </si>
  <si>
    <t>Dividend (announced) ps (p)</t>
  </si>
  <si>
    <t>Dividend (adjusted) ps (p)</t>
  </si>
  <si>
    <t>EPS rep. continuous (p)</t>
  </si>
  <si>
    <t>EPS rep. discontinued (p)</t>
  </si>
  <si>
    <t>EPS reported (p)</t>
  </si>
  <si>
    <t>EPS norm. continuous (p)</t>
  </si>
  <si>
    <t>NORMALISED</t>
  </si>
  <si>
    <t>COMPANY ADJUSTED</t>
  </si>
  <si>
    <t>EPS (basic) (p)</t>
  </si>
  <si>
    <t>EPS (diluted) (p)</t>
  </si>
  <si>
    <t>Number of shares</t>
  </si>
  <si>
    <t>Average shares (adjusted)</t>
  </si>
  <si>
    <t>Average shares (diluted)</t>
  </si>
  <si>
    <t>Research &amp; development</t>
  </si>
  <si>
    <t>Rental &amp; lease expense</t>
  </si>
  <si>
    <t>Stock based compensation</t>
  </si>
  <si>
    <t>Number of employees</t>
  </si>
  <si>
    <t>Tax rate %</t>
  </si>
  <si>
    <t>Market capitalisation</t>
  </si>
  <si>
    <t>Enterprise value</t>
  </si>
  <si>
    <t>Revenue growth 5yr CAGR</t>
  </si>
  <si>
    <t>Interest expense (as % avg. borrowings)</t>
  </si>
  <si>
    <t>Total borrowings</t>
  </si>
  <si>
    <t>Cash</t>
  </si>
  <si>
    <t>Diluted EPS ($)</t>
  </si>
  <si>
    <t>Q4 IFRS</t>
  </si>
  <si>
    <t>Profit on disposals</t>
  </si>
  <si>
    <t>Interest paid CFO</t>
  </si>
  <si>
    <t>Interest received CFO</t>
  </si>
  <si>
    <t>Dividend paid CFO</t>
  </si>
  <si>
    <t>Dividend received CFO</t>
  </si>
  <si>
    <t>New leases</t>
  </si>
  <si>
    <t>Associates &amp; joint ventures</t>
  </si>
  <si>
    <t>Accruals</t>
  </si>
  <si>
    <t>EPS (p)</t>
  </si>
  <si>
    <t>Dividend (p)</t>
  </si>
  <si>
    <t>Gross profit margin</t>
  </si>
  <si>
    <t>Depreciation &amp; amortisation (as % y-1 PPE)</t>
  </si>
  <si>
    <t>Acquisition spend</t>
  </si>
  <si>
    <t>Basic EPS (p)</t>
  </si>
  <si>
    <t>Diluted EPS (p)</t>
  </si>
  <si>
    <t>Market capitalisation (£m)</t>
  </si>
  <si>
    <t>Share price (p)</t>
  </si>
  <si>
    <t>£m</t>
  </si>
  <si>
    <t>GP margin</t>
  </si>
  <si>
    <t>YoY growth %</t>
  </si>
  <si>
    <t>EV/FCFF</t>
  </si>
  <si>
    <t>FCFF</t>
  </si>
  <si>
    <t>Q2 IFRS</t>
  </si>
  <si>
    <t>Opex (as % revenue)</t>
  </si>
  <si>
    <t>Opex</t>
  </si>
  <si>
    <t xml:space="preserve">  </t>
  </si>
  <si>
    <t>Focusrite Plc</t>
  </si>
  <si>
    <t>LSE:TUNE</t>
  </si>
  <si>
    <t>ROIC %</t>
  </si>
  <si>
    <t>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</si>
</sst>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;&quot;(&quot;#,##0&quot;)&quot;"/>
    <numFmt numFmtId="166" formatCode="#,##0.0;&quot;(&quot;#,##0.0&quot;)&quot;"/>
    <numFmt numFmtId="167" formatCode="0.0%"/>
    <numFmt numFmtId="168" formatCode="0.0&quot;x&quot;"/>
    <numFmt numFmtId="169" formatCode="0.00&quot;x&quot;"/>
    <numFmt numFmtId="170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26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6" borderId="0"/>
  </cellStyleXfs>
  <cellXfs count="101">
    <xf numFmtId="0" fontId="0" fillId="0" borderId="0" xfId="0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2" borderId="2" xfId="1" applyFont="1" applyBorder="1"/>
    <xf numFmtId="14" fontId="0" fillId="2" borderId="2" xfId="1" applyNumberFormat="1" applyFont="1" applyBorder="1"/>
    <xf numFmtId="0" fontId="0" fillId="3" borderId="0" xfId="0" applyFill="1" applyAlignment="1">
      <alignment horizontal="right"/>
    </xf>
    <xf numFmtId="0" fontId="0" fillId="2" borderId="3" xfId="1" applyFont="1" applyBorder="1" applyAlignment="1">
      <alignment horizontal="right"/>
    </xf>
    <xf numFmtId="14" fontId="0" fillId="2" borderId="3" xfId="1" applyNumberFormat="1" applyFont="1" applyBorder="1" applyAlignment="1">
      <alignment horizontal="right"/>
    </xf>
    <xf numFmtId="16" fontId="0" fillId="2" borderId="1" xfId="1" applyNumberFormat="1" applyFont="1"/>
    <xf numFmtId="16" fontId="0" fillId="3" borderId="1" xfId="1" applyNumberFormat="1" applyFont="1" applyFill="1"/>
    <xf numFmtId="0" fontId="0" fillId="3" borderId="4" xfId="0" applyFill="1" applyBorder="1" applyAlignment="1">
      <alignment horizontal="right"/>
    </xf>
    <xf numFmtId="0" fontId="3" fillId="3" borderId="4" xfId="0" applyFont="1" applyFill="1" applyBorder="1"/>
    <xf numFmtId="0" fontId="0" fillId="3" borderId="4" xfId="0" applyFill="1" applyBorder="1"/>
    <xf numFmtId="14" fontId="0" fillId="3" borderId="0" xfId="0" applyNumberFormat="1" applyFill="1"/>
    <xf numFmtId="0" fontId="4" fillId="3" borderId="5" xfId="0" applyFont="1" applyFill="1" applyBorder="1"/>
    <xf numFmtId="43" fontId="0" fillId="3" borderId="0" xfId="2" applyFont="1" applyFill="1"/>
    <xf numFmtId="164" fontId="0" fillId="3" borderId="0" xfId="2" applyNumberFormat="1" applyFont="1" applyFill="1"/>
    <xf numFmtId="164" fontId="0" fillId="3" borderId="0" xfId="2" applyNumberFormat="1" applyFont="1" applyFill="1" applyAlignment="1">
      <alignment horizontal="right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165" fontId="6" fillId="3" borderId="0" xfId="2" applyNumberFormat="1" applyFont="1" applyFill="1" applyAlignment="1">
      <alignment horizontal="right"/>
    </xf>
    <xf numFmtId="165" fontId="0" fillId="3" borderId="0" xfId="2" applyNumberFormat="1" applyFont="1" applyFill="1"/>
    <xf numFmtId="0" fontId="8" fillId="3" borderId="0" xfId="0" applyFont="1" applyFill="1"/>
    <xf numFmtId="14" fontId="0" fillId="3" borderId="0" xfId="1" applyNumberFormat="1" applyFont="1" applyFill="1" applyBorder="1"/>
    <xf numFmtId="14" fontId="0" fillId="3" borderId="0" xfId="1" applyNumberFormat="1" applyFont="1" applyFill="1" applyBorder="1" applyAlignment="1">
      <alignment horizontal="right"/>
    </xf>
    <xf numFmtId="166" fontId="0" fillId="3" borderId="0" xfId="2" applyNumberFormat="1" applyFont="1" applyFill="1"/>
    <xf numFmtId="167" fontId="0" fillId="3" borderId="0" xfId="3" applyNumberFormat="1" applyFont="1" applyFill="1"/>
    <xf numFmtId="166" fontId="6" fillId="3" borderId="0" xfId="2" applyNumberFormat="1" applyFont="1" applyFill="1" applyAlignment="1">
      <alignment horizontal="right"/>
    </xf>
    <xf numFmtId="43" fontId="0" fillId="0" borderId="1" xfId="2" applyFont="1" applyFill="1" applyBorder="1"/>
    <xf numFmtId="10" fontId="0" fillId="0" borderId="1" xfId="3" applyNumberFormat="1" applyFont="1" applyFill="1" applyBorder="1"/>
    <xf numFmtId="10" fontId="0" fillId="3" borderId="0" xfId="0" applyNumberFormat="1" applyFill="1"/>
    <xf numFmtId="43" fontId="0" fillId="3" borderId="1" xfId="2" applyFont="1" applyFill="1" applyBorder="1"/>
    <xf numFmtId="10" fontId="0" fillId="3" borderId="1" xfId="1" applyNumberFormat="1" applyFont="1" applyFill="1"/>
    <xf numFmtId="2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/>
    <xf numFmtId="164" fontId="4" fillId="3" borderId="0" xfId="2" applyNumberFormat="1" applyFont="1" applyFill="1"/>
    <xf numFmtId="10" fontId="0" fillId="3" borderId="1" xfId="3" applyNumberFormat="1" applyFont="1" applyFill="1" applyBorder="1"/>
    <xf numFmtId="43" fontId="0" fillId="3" borderId="0" xfId="0" applyNumberFormat="1" applyFill="1"/>
    <xf numFmtId="0" fontId="10" fillId="3" borderId="0" xfId="0" applyFont="1" applyFill="1"/>
    <xf numFmtId="9" fontId="5" fillId="3" borderId="0" xfId="3" applyFont="1" applyFill="1"/>
    <xf numFmtId="0" fontId="0" fillId="3" borderId="6" xfId="0" applyFill="1" applyBorder="1"/>
    <xf numFmtId="0" fontId="5" fillId="3" borderId="6" xfId="0" applyFont="1" applyFill="1" applyBorder="1"/>
    <xf numFmtId="167" fontId="0" fillId="6" borderId="0" xfId="3" applyNumberFormat="1" applyFont="1" applyFill="1"/>
    <xf numFmtId="0" fontId="13" fillId="3" borderId="0" xfId="0" applyFont="1" applyFill="1"/>
    <xf numFmtId="168" fontId="13" fillId="6" borderId="0" xfId="4" applyFont="1"/>
    <xf numFmtId="168" fontId="13" fillId="3" borderId="0" xfId="4" applyFont="1" applyFill="1"/>
    <xf numFmtId="170" fontId="13" fillId="6" borderId="0" xfId="2" applyNumberFormat="1" applyFont="1" applyFill="1"/>
    <xf numFmtId="170" fontId="13" fillId="3" borderId="0" xfId="2" applyNumberFormat="1" applyFont="1" applyFill="1"/>
    <xf numFmtId="0" fontId="13" fillId="3" borderId="0" xfId="0" applyFont="1" applyFill="1" applyAlignment="1">
      <alignment horizontal="right"/>
    </xf>
    <xf numFmtId="10" fontId="13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167" fontId="13" fillId="3" borderId="0" xfId="3" applyNumberFormat="1" applyFont="1" applyFill="1" applyAlignment="1">
      <alignment horizontal="right"/>
    </xf>
    <xf numFmtId="166" fontId="0" fillId="6" borderId="0" xfId="2" applyNumberFormat="1" applyFont="1" applyFill="1"/>
    <xf numFmtId="166" fontId="6" fillId="6" borderId="0" xfId="2" applyNumberFormat="1" applyFont="1" applyFill="1" applyAlignment="1">
      <alignment horizontal="right"/>
    </xf>
    <xf numFmtId="169" fontId="5" fillId="3" borderId="0" xfId="2" applyNumberFormat="1" applyFont="1" applyFill="1"/>
    <xf numFmtId="10" fontId="0" fillId="2" borderId="1" xfId="3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7" fontId="0" fillId="3" borderId="0" xfId="3" applyNumberFormat="1" applyFont="1" applyFill="1" applyProtection="1">
      <protection locked="0"/>
    </xf>
    <xf numFmtId="164" fontId="0" fillId="3" borderId="0" xfId="2" applyNumberFormat="1" applyFont="1" applyFill="1" applyProtection="1">
      <protection locked="0"/>
    </xf>
    <xf numFmtId="164" fontId="0" fillId="2" borderId="1" xfId="1" applyNumberFormat="1" applyFont="1" applyProtection="1">
      <protection locked="0"/>
    </xf>
    <xf numFmtId="10" fontId="0" fillId="2" borderId="1" xfId="2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0" fontId="14" fillId="3" borderId="0" xfId="0" applyFont="1" applyFill="1"/>
    <xf numFmtId="14" fontId="0" fillId="0" borderId="0" xfId="0" applyNumberFormat="1"/>
    <xf numFmtId="43" fontId="0" fillId="0" borderId="0" xfId="2" applyFont="1"/>
    <xf numFmtId="167" fontId="0" fillId="0" borderId="0" xfId="3" applyNumberFormat="1" applyFont="1"/>
    <xf numFmtId="0" fontId="0" fillId="7" borderId="0" xfId="0" applyFill="1"/>
    <xf numFmtId="0" fontId="15" fillId="3" borderId="0" xfId="0" applyFont="1" applyFill="1"/>
    <xf numFmtId="170" fontId="0" fillId="6" borderId="0" xfId="2" applyNumberFormat="1" applyFont="1" applyFill="1"/>
    <xf numFmtId="170" fontId="0" fillId="0" borderId="0" xfId="2" applyNumberFormat="1" applyFont="1" applyFill="1"/>
    <xf numFmtId="170" fontId="0" fillId="3" borderId="0" xfId="2" applyNumberFormat="1" applyFont="1" applyFill="1" applyProtection="1">
      <protection locked="0"/>
    </xf>
    <xf numFmtId="167" fontId="0" fillId="0" borderId="0" xfId="3" applyNumberFormat="1" applyFont="1" applyFill="1"/>
    <xf numFmtId="0" fontId="0" fillId="2" borderId="3" xfId="1" quotePrefix="1" applyFont="1" applyBorder="1" applyAlignment="1">
      <alignment horizontal="right"/>
    </xf>
    <xf numFmtId="167" fontId="0" fillId="6" borderId="6" xfId="3" applyNumberFormat="1" applyFont="1" applyFill="1" applyBorder="1"/>
    <xf numFmtId="167" fontId="0" fillId="3" borderId="6" xfId="3" applyNumberFormat="1" applyFont="1" applyFill="1" applyBorder="1"/>
    <xf numFmtId="0" fontId="4" fillId="3" borderId="7" xfId="0" applyFont="1" applyFill="1" applyBorder="1"/>
    <xf numFmtId="166" fontId="0" fillId="6" borderId="5" xfId="2" applyNumberFormat="1" applyFont="1" applyFill="1" applyBorder="1"/>
    <xf numFmtId="166" fontId="0" fillId="3" borderId="5" xfId="2" applyNumberFormat="1" applyFont="1" applyFill="1" applyBorder="1"/>
    <xf numFmtId="166" fontId="0" fillId="6" borderId="0" xfId="0" applyNumberFormat="1" applyFill="1" applyAlignment="1">
      <alignment horizontal="right"/>
    </xf>
    <xf numFmtId="166" fontId="0" fillId="6" borderId="0" xfId="0" applyNumberFormat="1" applyFill="1"/>
    <xf numFmtId="166" fontId="0" fillId="3" borderId="0" xfId="0" applyNumberFormat="1" applyFill="1"/>
    <xf numFmtId="166" fontId="0" fillId="4" borderId="0" xfId="0" applyNumberForma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9" fillId="5" borderId="0" xfId="2" applyNumberFormat="1" applyFont="1" applyFill="1"/>
    <xf numFmtId="166" fontId="0" fillId="3" borderId="0" xfId="0" applyNumberFormat="1" applyFill="1" applyAlignment="1">
      <alignment horizontal="right"/>
    </xf>
    <xf numFmtId="166" fontId="4" fillId="6" borderId="0" xfId="2" applyNumberFormat="1" applyFont="1" applyFill="1" applyBorder="1"/>
    <xf numFmtId="166" fontId="4" fillId="3" borderId="0" xfId="2" applyNumberFormat="1" applyFont="1" applyFill="1" applyBorder="1"/>
    <xf numFmtId="166" fontId="4" fillId="6" borderId="7" xfId="2" applyNumberFormat="1" applyFont="1" applyFill="1" applyBorder="1"/>
    <xf numFmtId="166" fontId="4" fillId="3" borderId="7" xfId="2" applyNumberFormat="1" applyFont="1" applyFill="1" applyBorder="1"/>
    <xf numFmtId="166" fontId="0" fillId="6" borderId="0" xfId="2" applyNumberFormat="1" applyFont="1" applyFill="1" applyBorder="1"/>
    <xf numFmtId="166" fontId="0" fillId="3" borderId="0" xfId="2" applyNumberFormat="1" applyFont="1" applyFill="1" applyBorder="1"/>
    <xf numFmtId="170" fontId="0" fillId="3" borderId="0" xfId="0" applyNumberFormat="1" applyFill="1"/>
    <xf numFmtId="2" fontId="0" fillId="0" borderId="0" xfId="0" applyNumberFormat="1"/>
    <xf numFmtId="167" fontId="0" fillId="0" borderId="0" xfId="3" applyNumberFormat="1" applyFont="1" applyFill="1" applyProtection="1">
      <protection locked="0"/>
    </xf>
    <xf numFmtId="0" fontId="0" fillId="8" borderId="0" xfId="0" applyFill="1"/>
    <xf numFmtId="170" fontId="15" fillId="3" borderId="0" xfId="2" applyNumberFormat="1" applyFont="1" applyFill="1"/>
    <xf numFmtId="165" fontId="0" fillId="3" borderId="0" xfId="0" applyNumberFormat="1" applyFill="1"/>
  </cellXfs>
  <cellStyles count="5">
    <cellStyle name="Comma" xfId="2" builtinId="3"/>
    <cellStyle name="Normal" xfId="0" builtinId="0"/>
    <cellStyle name="Note" xfId="1" builtinId="10"/>
    <cellStyle name="Percent" xfId="3" builtinId="5"/>
    <cellStyle name="Style 1" xfId="4" xr:uid="{CAA3948D-C561-4D3F-977D-B4A6D04E8389}"/>
  </cellStyles>
  <dxfs count="12">
    <dxf>
      <font>
        <color rgb="FFFF0000"/>
      </font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197F-FF69-4E37-AEBC-95A85D315F7C}">
  <sheetPr>
    <tabColor theme="4" tint="0.79998168889431442"/>
  </sheetPr>
  <dimension ref="A1:E23"/>
  <sheetViews>
    <sheetView topLeftCell="A3" workbookViewId="0">
      <selection activeCell="E10" sqref="E10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5" ht="33.6" x14ac:dyDescent="0.65">
      <c r="B1" s="66" t="s">
        <v>133</v>
      </c>
    </row>
    <row r="2" spans="1:5" s="15" customFormat="1" ht="15" thickBot="1" x14ac:dyDescent="0.35">
      <c r="A2" s="13"/>
      <c r="B2" s="14" t="str">
        <f ca="1">UPPER(cover!E8&amp;" - "&amp;DAY(cover!E12)&amp;"/"&amp;MONTH(cover!E12)&amp;"/"&amp;YEAR(cover!E12))</f>
        <v>FOCUSRITE PLC - 20/5/2023</v>
      </c>
      <c r="E2" s="13"/>
    </row>
    <row r="3" spans="1:5" ht="15" thickTop="1" x14ac:dyDescent="0.3">
      <c r="B3" s="25" t="str">
        <f>IF(checks!E10&lt;&gt;0,"**ERROR**","")</f>
        <v/>
      </c>
    </row>
    <row r="4" spans="1:5" s="3" customFormat="1" x14ac:dyDescent="0.3">
      <c r="A4" s="5"/>
      <c r="B4" s="2" t="s">
        <v>2</v>
      </c>
      <c r="E4" s="4"/>
    </row>
    <row r="6" spans="1:5" x14ac:dyDescent="0.3">
      <c r="B6" s="2" t="s">
        <v>4</v>
      </c>
      <c r="C6" s="3"/>
      <c r="D6" s="3"/>
      <c r="E6" s="4"/>
    </row>
    <row r="8" spans="1:5" x14ac:dyDescent="0.3">
      <c r="B8" s="1" t="s">
        <v>0</v>
      </c>
      <c r="D8" s="6"/>
      <c r="E8" s="9" t="s">
        <v>313</v>
      </c>
    </row>
    <row r="9" spans="1:5" x14ac:dyDescent="0.3">
      <c r="B9" s="1" t="s">
        <v>1</v>
      </c>
      <c r="D9" s="6"/>
      <c r="E9" s="9" t="s">
        <v>314</v>
      </c>
    </row>
    <row r="10" spans="1:5" x14ac:dyDescent="0.3">
      <c r="B10" s="1" t="s">
        <v>3</v>
      </c>
      <c r="D10" s="6"/>
      <c r="E10" s="76" t="s">
        <v>304</v>
      </c>
    </row>
    <row r="11" spans="1:5" x14ac:dyDescent="0.3">
      <c r="B11" s="1" t="s">
        <v>6</v>
      </c>
      <c r="D11" s="6"/>
      <c r="E11" s="10">
        <f ca="1">TODAY()</f>
        <v>45066</v>
      </c>
    </row>
    <row r="12" spans="1:5" x14ac:dyDescent="0.3">
      <c r="B12" s="1" t="s">
        <v>104</v>
      </c>
      <c r="D12" s="7"/>
      <c r="E12" s="10">
        <f ca="1">E11</f>
        <v>45066</v>
      </c>
    </row>
    <row r="13" spans="1:5" x14ac:dyDescent="0.3">
      <c r="B13" s="1" t="s">
        <v>98</v>
      </c>
      <c r="D13" s="7"/>
      <c r="E13" s="10">
        <v>44985</v>
      </c>
    </row>
    <row r="14" spans="1:5" x14ac:dyDescent="0.3">
      <c r="B14" s="1" t="s">
        <v>29</v>
      </c>
      <c r="D14" s="26"/>
      <c r="E14" s="27">
        <f>E13</f>
        <v>44985</v>
      </c>
    </row>
    <row r="16" spans="1:5" x14ac:dyDescent="0.3">
      <c r="B16" s="2" t="s">
        <v>5</v>
      </c>
      <c r="C16" s="3"/>
      <c r="D16" s="3"/>
      <c r="E16" s="4"/>
    </row>
    <row r="18" spans="2:5" x14ac:dyDescent="0.3">
      <c r="D18" s="8" t="s">
        <v>11</v>
      </c>
      <c r="E18" s="8" t="s">
        <v>13</v>
      </c>
    </row>
    <row r="19" spans="2:5" x14ac:dyDescent="0.3">
      <c r="D19" s="8" t="s">
        <v>12</v>
      </c>
      <c r="E19" s="8" t="s">
        <v>12</v>
      </c>
    </row>
    <row r="20" spans="2:5" x14ac:dyDescent="0.3">
      <c r="B20" s="1" t="s">
        <v>7</v>
      </c>
      <c r="D20" s="11">
        <v>45077</v>
      </c>
      <c r="E20" s="11"/>
    </row>
    <row r="21" spans="2:5" x14ac:dyDescent="0.3">
      <c r="B21" s="1" t="s">
        <v>10</v>
      </c>
      <c r="D21" s="12">
        <f>EOMONTH(D20,3)</f>
        <v>45169</v>
      </c>
      <c r="E21" s="11"/>
    </row>
    <row r="22" spans="2:5" x14ac:dyDescent="0.3">
      <c r="B22" s="1" t="s">
        <v>8</v>
      </c>
      <c r="D22" s="12">
        <f>EOMONTH(D21,3)</f>
        <v>45260</v>
      </c>
      <c r="E22" s="11"/>
    </row>
    <row r="23" spans="2:5" x14ac:dyDescent="0.3">
      <c r="B23" s="1" t="s">
        <v>9</v>
      </c>
      <c r="D23" s="12">
        <f>EOMONTH(D22,3)</f>
        <v>45351</v>
      </c>
      <c r="E23" s="11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8CA1-1204-42E4-A52F-E4EB2BD409DA}">
  <sheetPr>
    <tabColor theme="6" tint="0.59999389629810485"/>
  </sheetPr>
  <dimension ref="A2:X73"/>
  <sheetViews>
    <sheetView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F59" sqref="F59:F60"/>
    </sheetView>
  </sheetViews>
  <sheetFormatPr defaultRowHeight="14.4" x14ac:dyDescent="0.3"/>
  <cols>
    <col min="1" max="1" width="27.88671875" bestFit="1" customWidth="1"/>
    <col min="2" max="24" width="11.109375" bestFit="1" customWidth="1"/>
  </cols>
  <sheetData>
    <row r="2" spans="1:24" x14ac:dyDescent="0.3">
      <c r="A2" t="s">
        <v>136</v>
      </c>
      <c r="B2">
        <v>2012</v>
      </c>
      <c r="C2">
        <v>2013</v>
      </c>
      <c r="D2">
        <v>2014</v>
      </c>
      <c r="E2">
        <v>2014</v>
      </c>
      <c r="F2">
        <v>2015</v>
      </c>
      <c r="G2">
        <v>2015</v>
      </c>
      <c r="H2">
        <v>2016</v>
      </c>
      <c r="I2">
        <v>2016</v>
      </c>
      <c r="J2">
        <v>2017</v>
      </c>
      <c r="K2">
        <v>2017</v>
      </c>
      <c r="L2">
        <v>2018</v>
      </c>
      <c r="M2">
        <v>2018</v>
      </c>
      <c r="N2">
        <v>2019</v>
      </c>
      <c r="O2">
        <v>2019</v>
      </c>
      <c r="P2">
        <v>2020</v>
      </c>
      <c r="Q2">
        <v>2020</v>
      </c>
      <c r="R2">
        <v>2021</v>
      </c>
      <c r="S2">
        <v>2021</v>
      </c>
      <c r="T2">
        <v>2022</v>
      </c>
      <c r="U2">
        <v>2022</v>
      </c>
      <c r="V2">
        <v>2023</v>
      </c>
    </row>
    <row r="3" spans="1:24" x14ac:dyDescent="0.3">
      <c r="A3" t="s">
        <v>146</v>
      </c>
      <c r="B3" s="67">
        <v>41152</v>
      </c>
      <c r="C3" s="67">
        <v>41517</v>
      </c>
      <c r="D3" s="67">
        <v>41698</v>
      </c>
      <c r="E3" s="67">
        <v>41882</v>
      </c>
      <c r="F3" s="67">
        <v>42063</v>
      </c>
      <c r="G3" s="67">
        <v>42247</v>
      </c>
      <c r="H3" s="67">
        <v>42429</v>
      </c>
      <c r="I3" s="67">
        <v>42613</v>
      </c>
      <c r="J3" s="67">
        <v>42794</v>
      </c>
      <c r="K3" s="67">
        <v>42978</v>
      </c>
      <c r="L3" s="67">
        <v>43159</v>
      </c>
      <c r="M3" s="67">
        <v>43343</v>
      </c>
      <c r="N3" s="67">
        <v>43524</v>
      </c>
      <c r="O3" s="67">
        <v>43708</v>
      </c>
      <c r="P3" s="67">
        <v>43890</v>
      </c>
      <c r="Q3" s="67">
        <v>44074</v>
      </c>
      <c r="R3" s="67">
        <v>44255</v>
      </c>
      <c r="S3" s="67">
        <v>44439</v>
      </c>
      <c r="T3" s="67">
        <v>44620</v>
      </c>
      <c r="U3" s="67">
        <v>44804</v>
      </c>
      <c r="V3" s="67">
        <v>44985</v>
      </c>
      <c r="W3" s="67"/>
      <c r="X3" s="67"/>
    </row>
    <row r="4" spans="1:24" x14ac:dyDescent="0.3">
      <c r="A4" t="s">
        <v>147</v>
      </c>
      <c r="B4" t="s">
        <v>286</v>
      </c>
      <c r="C4" t="s">
        <v>286</v>
      </c>
      <c r="D4" t="s">
        <v>309</v>
      </c>
      <c r="E4" t="s">
        <v>286</v>
      </c>
      <c r="F4" t="s">
        <v>309</v>
      </c>
      <c r="G4" t="s">
        <v>286</v>
      </c>
      <c r="H4" t="s">
        <v>309</v>
      </c>
      <c r="I4" t="s">
        <v>286</v>
      </c>
      <c r="J4" t="s">
        <v>309</v>
      </c>
      <c r="K4" t="s">
        <v>286</v>
      </c>
      <c r="L4" t="s">
        <v>309</v>
      </c>
      <c r="M4" t="s">
        <v>286</v>
      </c>
      <c r="N4" t="s">
        <v>309</v>
      </c>
      <c r="O4" t="s">
        <v>286</v>
      </c>
      <c r="P4" t="s">
        <v>309</v>
      </c>
      <c r="Q4" t="s">
        <v>286</v>
      </c>
      <c r="R4" t="s">
        <v>309</v>
      </c>
      <c r="S4" t="s">
        <v>286</v>
      </c>
      <c r="T4" t="s">
        <v>309</v>
      </c>
      <c r="U4" t="s">
        <v>286</v>
      </c>
      <c r="V4" t="s">
        <v>309</v>
      </c>
    </row>
    <row r="5" spans="1:24" x14ac:dyDescent="0.3">
      <c r="A5" t="s">
        <v>148</v>
      </c>
    </row>
    <row r="6" spans="1:24" x14ac:dyDescent="0.3">
      <c r="A6" t="s">
        <v>149</v>
      </c>
    </row>
    <row r="7" spans="1:24" x14ac:dyDescent="0.3">
      <c r="A7" t="s">
        <v>150</v>
      </c>
      <c r="B7">
        <v>2.7</v>
      </c>
      <c r="C7">
        <v>4.5999999999999996</v>
      </c>
      <c r="D7">
        <v>2.4</v>
      </c>
      <c r="E7">
        <v>5</v>
      </c>
      <c r="F7">
        <v>2.9</v>
      </c>
      <c r="G7">
        <v>5.5</v>
      </c>
      <c r="H7">
        <v>2.1</v>
      </c>
      <c r="I7">
        <v>6.3</v>
      </c>
      <c r="J7">
        <v>4</v>
      </c>
      <c r="K7">
        <v>8.6</v>
      </c>
      <c r="L7">
        <v>5.0999999999999996</v>
      </c>
      <c r="M7">
        <v>10.5</v>
      </c>
      <c r="N7">
        <v>6.4</v>
      </c>
      <c r="O7">
        <v>11.7</v>
      </c>
      <c r="P7">
        <v>2.1</v>
      </c>
      <c r="Q7">
        <v>4.0999999999999996</v>
      </c>
      <c r="R7">
        <v>19.3</v>
      </c>
      <c r="S7">
        <v>28.3</v>
      </c>
      <c r="T7">
        <v>13.5</v>
      </c>
      <c r="U7">
        <v>24.8</v>
      </c>
      <c r="V7">
        <v>8.4</v>
      </c>
    </row>
    <row r="8" spans="1:24" x14ac:dyDescent="0.3">
      <c r="A8" t="s">
        <v>48</v>
      </c>
      <c r="B8">
        <v>1.4</v>
      </c>
      <c r="C8">
        <v>1.7</v>
      </c>
      <c r="D8">
        <v>0.9</v>
      </c>
      <c r="E8">
        <v>1.9</v>
      </c>
      <c r="F8">
        <v>1</v>
      </c>
      <c r="G8">
        <v>2.2999999999999998</v>
      </c>
      <c r="H8">
        <v>1.1000000000000001</v>
      </c>
      <c r="I8">
        <v>2.6</v>
      </c>
      <c r="J8">
        <v>1.6</v>
      </c>
      <c r="K8">
        <v>3.6</v>
      </c>
      <c r="L8">
        <v>1.7</v>
      </c>
      <c r="M8">
        <v>3.5</v>
      </c>
      <c r="N8">
        <v>1.6</v>
      </c>
      <c r="O8">
        <v>3.6</v>
      </c>
      <c r="P8">
        <v>3.9</v>
      </c>
      <c r="Q8">
        <v>8.6</v>
      </c>
      <c r="R8">
        <v>4.8</v>
      </c>
      <c r="S8">
        <v>10.1</v>
      </c>
      <c r="T8">
        <v>5.4</v>
      </c>
      <c r="U8">
        <v>12.1</v>
      </c>
      <c r="V8">
        <v>5.5</v>
      </c>
    </row>
    <row r="9" spans="1:24" x14ac:dyDescent="0.3">
      <c r="A9" t="s">
        <v>151</v>
      </c>
      <c r="B9">
        <v>0.3</v>
      </c>
      <c r="C9">
        <v>0.6</v>
      </c>
      <c r="D9">
        <v>0.4</v>
      </c>
      <c r="E9">
        <v>0.8</v>
      </c>
      <c r="F9">
        <v>0.6</v>
      </c>
      <c r="G9">
        <v>1</v>
      </c>
      <c r="H9">
        <v>0.3</v>
      </c>
      <c r="I9">
        <v>0.9</v>
      </c>
      <c r="J9">
        <v>0.6</v>
      </c>
      <c r="K9">
        <v>1</v>
      </c>
      <c r="L9">
        <v>0.7</v>
      </c>
      <c r="M9">
        <v>1.2</v>
      </c>
      <c r="N9">
        <v>0.8</v>
      </c>
      <c r="O9">
        <v>1.3</v>
      </c>
      <c r="P9">
        <v>0.6</v>
      </c>
      <c r="Q9">
        <v>2.9</v>
      </c>
      <c r="R9">
        <v>4.3</v>
      </c>
      <c r="S9">
        <v>6.8</v>
      </c>
      <c r="T9">
        <v>3.1</v>
      </c>
      <c r="U9">
        <v>5.8</v>
      </c>
      <c r="V9">
        <v>2.4</v>
      </c>
    </row>
    <row r="10" spans="1:24" x14ac:dyDescent="0.3">
      <c r="A10" t="s">
        <v>152</v>
      </c>
    </row>
    <row r="11" spans="1:24" x14ac:dyDescent="0.3">
      <c r="A11" t="s">
        <v>287</v>
      </c>
      <c r="E11">
        <v>-0.1</v>
      </c>
      <c r="G11">
        <v>0</v>
      </c>
      <c r="J11">
        <v>0</v>
      </c>
      <c r="K11">
        <v>0</v>
      </c>
      <c r="M11">
        <v>0</v>
      </c>
      <c r="O11">
        <v>0</v>
      </c>
      <c r="P11">
        <v>0</v>
      </c>
      <c r="S11">
        <v>0.5</v>
      </c>
      <c r="T11">
        <v>-0.8</v>
      </c>
      <c r="U11">
        <v>-0.7</v>
      </c>
      <c r="V11">
        <v>0</v>
      </c>
    </row>
    <row r="12" spans="1:24" x14ac:dyDescent="0.3">
      <c r="A12" t="s">
        <v>153</v>
      </c>
      <c r="B12">
        <v>-0.8</v>
      </c>
      <c r="C12">
        <v>-3.3</v>
      </c>
      <c r="D12">
        <v>0.5</v>
      </c>
      <c r="E12">
        <v>0.3</v>
      </c>
      <c r="F12">
        <v>-1.2</v>
      </c>
      <c r="G12">
        <v>-2</v>
      </c>
      <c r="H12">
        <v>-2.1</v>
      </c>
      <c r="I12">
        <v>-2.7</v>
      </c>
      <c r="J12">
        <v>1.2</v>
      </c>
      <c r="K12">
        <v>3</v>
      </c>
      <c r="L12">
        <v>-2.6</v>
      </c>
      <c r="M12">
        <v>-3.1</v>
      </c>
      <c r="N12">
        <v>-0.9</v>
      </c>
      <c r="O12">
        <v>-0.7</v>
      </c>
      <c r="P12">
        <v>2.6</v>
      </c>
      <c r="Q12">
        <v>1.9</v>
      </c>
      <c r="R12">
        <v>3.5</v>
      </c>
      <c r="S12">
        <v>-1</v>
      </c>
      <c r="T12">
        <v>-5</v>
      </c>
      <c r="U12">
        <v>-27.6</v>
      </c>
      <c r="V12">
        <v>-2.2999999999999998</v>
      </c>
    </row>
    <row r="13" spans="1:24" x14ac:dyDescent="0.3">
      <c r="A13" t="s">
        <v>154</v>
      </c>
      <c r="B13">
        <v>-1.3</v>
      </c>
      <c r="C13">
        <v>-3.1</v>
      </c>
      <c r="D13">
        <v>2.2999999999999998</v>
      </c>
      <c r="E13">
        <v>1.4</v>
      </c>
      <c r="F13">
        <v>-0.1</v>
      </c>
      <c r="G13">
        <v>-1.4</v>
      </c>
      <c r="H13">
        <v>-2</v>
      </c>
      <c r="I13">
        <v>-3.5</v>
      </c>
      <c r="J13">
        <v>1</v>
      </c>
      <c r="K13">
        <v>-1.7</v>
      </c>
      <c r="L13">
        <v>2.1</v>
      </c>
      <c r="M13">
        <v>-0.4</v>
      </c>
      <c r="N13">
        <v>1.1000000000000001</v>
      </c>
      <c r="O13">
        <v>-4.2</v>
      </c>
      <c r="P13">
        <v>3.5</v>
      </c>
      <c r="Q13">
        <v>3.9</v>
      </c>
      <c r="R13">
        <v>0.5</v>
      </c>
      <c r="S13">
        <v>3.5</v>
      </c>
      <c r="T13">
        <v>-7.6</v>
      </c>
      <c r="U13">
        <v>-12.3</v>
      </c>
      <c r="V13">
        <v>1.3</v>
      </c>
    </row>
    <row r="14" spans="1:24" x14ac:dyDescent="0.3">
      <c r="A14" t="s">
        <v>155</v>
      </c>
      <c r="B14">
        <v>0.5</v>
      </c>
      <c r="C14">
        <v>2</v>
      </c>
      <c r="D14">
        <v>-2.4</v>
      </c>
      <c r="E14">
        <v>0.5</v>
      </c>
      <c r="F14">
        <v>0.5</v>
      </c>
      <c r="G14">
        <v>1.7</v>
      </c>
      <c r="H14">
        <v>0.3</v>
      </c>
      <c r="I14">
        <v>0.2</v>
      </c>
      <c r="J14">
        <v>-2.2000000000000002</v>
      </c>
      <c r="K14">
        <v>-0.9</v>
      </c>
      <c r="L14">
        <v>1.4</v>
      </c>
      <c r="M14">
        <v>3</v>
      </c>
      <c r="N14">
        <v>-2.2999999999999998</v>
      </c>
      <c r="O14">
        <v>2.7</v>
      </c>
      <c r="P14">
        <v>-4.2</v>
      </c>
      <c r="Q14">
        <v>7.9</v>
      </c>
      <c r="R14">
        <v>-8.1999999999999993</v>
      </c>
      <c r="S14">
        <v>-0.8</v>
      </c>
      <c r="T14">
        <v>2.5</v>
      </c>
      <c r="U14">
        <v>13</v>
      </c>
      <c r="V14">
        <v>-9.4</v>
      </c>
    </row>
    <row r="15" spans="1:24" x14ac:dyDescent="0.3">
      <c r="A15" t="s">
        <v>156</v>
      </c>
      <c r="C15">
        <v>0</v>
      </c>
      <c r="D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0.2</v>
      </c>
      <c r="P15">
        <v>0</v>
      </c>
      <c r="R15">
        <v>0</v>
      </c>
      <c r="S15">
        <v>0</v>
      </c>
      <c r="U15">
        <v>0</v>
      </c>
    </row>
    <row r="16" spans="1:24" x14ac:dyDescent="0.3">
      <c r="A16" t="s">
        <v>157</v>
      </c>
      <c r="B16">
        <v>-1.6</v>
      </c>
      <c r="C16">
        <v>-4.5</v>
      </c>
      <c r="D16">
        <v>0.4</v>
      </c>
      <c r="E16">
        <v>2.2000000000000002</v>
      </c>
      <c r="F16">
        <v>-0.9</v>
      </c>
      <c r="G16">
        <v>-1.7</v>
      </c>
      <c r="H16">
        <v>-3.7</v>
      </c>
      <c r="I16">
        <v>-6</v>
      </c>
      <c r="J16">
        <v>0</v>
      </c>
      <c r="K16">
        <v>0.4</v>
      </c>
      <c r="L16">
        <v>1</v>
      </c>
      <c r="M16">
        <v>-0.4</v>
      </c>
      <c r="N16">
        <v>-1.9</v>
      </c>
      <c r="O16">
        <v>-2.2000000000000002</v>
      </c>
      <c r="P16">
        <v>1.9</v>
      </c>
      <c r="Q16">
        <v>13.7</v>
      </c>
      <c r="R16">
        <v>-4.2</v>
      </c>
      <c r="S16">
        <v>1.7</v>
      </c>
      <c r="T16">
        <v>-10.1</v>
      </c>
      <c r="U16">
        <v>-26.9</v>
      </c>
      <c r="V16">
        <v>-10.4</v>
      </c>
    </row>
    <row r="17" spans="1:22" x14ac:dyDescent="0.3">
      <c r="A17" t="s">
        <v>158</v>
      </c>
      <c r="B17">
        <v>-0.3</v>
      </c>
      <c r="C17">
        <v>0.2</v>
      </c>
      <c r="D17">
        <v>0.1</v>
      </c>
      <c r="E17">
        <v>-0.1</v>
      </c>
      <c r="F17">
        <v>-0.5</v>
      </c>
      <c r="G17">
        <v>0</v>
      </c>
      <c r="H17">
        <v>0.8</v>
      </c>
      <c r="I17">
        <v>0.1</v>
      </c>
      <c r="J17">
        <v>0</v>
      </c>
      <c r="K17">
        <v>0.1</v>
      </c>
      <c r="L17">
        <v>0.5</v>
      </c>
      <c r="M17">
        <v>0.5</v>
      </c>
      <c r="N17">
        <v>0.3</v>
      </c>
      <c r="O17">
        <v>0.1</v>
      </c>
      <c r="P17">
        <v>0.6</v>
      </c>
      <c r="Q17">
        <v>11.6</v>
      </c>
      <c r="R17">
        <v>1</v>
      </c>
      <c r="S17">
        <v>1.7</v>
      </c>
      <c r="T17">
        <v>0.3</v>
      </c>
      <c r="U17">
        <v>-0.9</v>
      </c>
      <c r="V17">
        <v>-0.1</v>
      </c>
    </row>
    <row r="18" spans="1:22" x14ac:dyDescent="0.3">
      <c r="A18" t="s">
        <v>159</v>
      </c>
      <c r="B18">
        <v>2.5</v>
      </c>
      <c r="C18">
        <v>2.7</v>
      </c>
      <c r="D18">
        <v>4.3</v>
      </c>
      <c r="E18">
        <v>9.6999999999999993</v>
      </c>
      <c r="F18">
        <v>3.1</v>
      </c>
      <c r="G18">
        <v>7</v>
      </c>
      <c r="H18">
        <v>0.6</v>
      </c>
      <c r="I18">
        <v>3.8</v>
      </c>
      <c r="J18">
        <v>6.2</v>
      </c>
      <c r="K18">
        <v>13.7</v>
      </c>
      <c r="L18">
        <v>9.1</v>
      </c>
      <c r="M18">
        <v>15.3</v>
      </c>
      <c r="N18">
        <v>7.1</v>
      </c>
      <c r="O18">
        <v>14.6</v>
      </c>
      <c r="P18">
        <v>9</v>
      </c>
      <c r="Q18">
        <v>40.9</v>
      </c>
      <c r="R18">
        <v>25.2</v>
      </c>
      <c r="S18">
        <v>49.1</v>
      </c>
      <c r="T18">
        <v>11.3</v>
      </c>
      <c r="U18">
        <v>14.1</v>
      </c>
      <c r="V18">
        <v>5.8</v>
      </c>
    </row>
    <row r="19" spans="1:22" x14ac:dyDescent="0.3">
      <c r="A19" t="s">
        <v>288</v>
      </c>
      <c r="L19">
        <v>0</v>
      </c>
      <c r="M19">
        <v>0</v>
      </c>
      <c r="Q19">
        <v>-0.4</v>
      </c>
      <c r="R19">
        <v>-0.1</v>
      </c>
      <c r="S19">
        <v>-0.3</v>
      </c>
      <c r="U19">
        <v>-0.3</v>
      </c>
      <c r="V19">
        <v>-0.6</v>
      </c>
    </row>
    <row r="20" spans="1:22" x14ac:dyDescent="0.3">
      <c r="A20" t="s">
        <v>289</v>
      </c>
      <c r="B20">
        <v>0</v>
      </c>
      <c r="D20">
        <v>0</v>
      </c>
      <c r="E20">
        <v>0.1</v>
      </c>
      <c r="F20">
        <v>0</v>
      </c>
      <c r="G20">
        <v>0</v>
      </c>
      <c r="H20">
        <v>-0.1</v>
      </c>
      <c r="I20">
        <v>-0.1</v>
      </c>
      <c r="J20">
        <v>0</v>
      </c>
      <c r="K20">
        <v>0</v>
      </c>
      <c r="N20">
        <v>0.1</v>
      </c>
      <c r="O20">
        <v>0.1</v>
      </c>
      <c r="P20">
        <v>-0.2</v>
      </c>
      <c r="T20">
        <v>0.2</v>
      </c>
    </row>
    <row r="21" spans="1:22" x14ac:dyDescent="0.3">
      <c r="A21" t="s">
        <v>290</v>
      </c>
    </row>
    <row r="22" spans="1:22" x14ac:dyDescent="0.3">
      <c r="A22" t="s">
        <v>291</v>
      </c>
    </row>
    <row r="23" spans="1:22" x14ac:dyDescent="0.3">
      <c r="A23" t="s">
        <v>186</v>
      </c>
      <c r="B23">
        <v>0.1</v>
      </c>
      <c r="C23">
        <v>0</v>
      </c>
      <c r="D23">
        <v>0</v>
      </c>
      <c r="E23">
        <v>-0.1</v>
      </c>
      <c r="F23">
        <v>0.1</v>
      </c>
      <c r="G23">
        <v>0.1</v>
      </c>
      <c r="H23">
        <v>0.2</v>
      </c>
      <c r="I23">
        <v>0.4</v>
      </c>
      <c r="J23">
        <v>0.1</v>
      </c>
      <c r="K23">
        <v>0.1</v>
      </c>
      <c r="M23">
        <v>-0.2</v>
      </c>
      <c r="O23">
        <v>0.2</v>
      </c>
      <c r="P23">
        <v>-0.1</v>
      </c>
      <c r="Q23">
        <v>-0.3</v>
      </c>
      <c r="R23">
        <v>-0.7</v>
      </c>
      <c r="S23">
        <v>-0.6</v>
      </c>
      <c r="T23">
        <v>-1.3</v>
      </c>
      <c r="U23">
        <v>-1.9</v>
      </c>
      <c r="V23">
        <v>-0.9</v>
      </c>
    </row>
    <row r="24" spans="1:22" x14ac:dyDescent="0.3">
      <c r="A24" t="s">
        <v>49</v>
      </c>
      <c r="B24">
        <v>-0.4</v>
      </c>
      <c r="C24">
        <v>-0.3</v>
      </c>
      <c r="D24">
        <v>-0.5</v>
      </c>
      <c r="E24">
        <v>-0.8</v>
      </c>
      <c r="F24">
        <v>-0.5</v>
      </c>
      <c r="G24">
        <v>-0.8</v>
      </c>
      <c r="H24">
        <v>-0.7</v>
      </c>
      <c r="I24">
        <v>-0.2</v>
      </c>
      <c r="J24">
        <v>-0.1</v>
      </c>
      <c r="K24">
        <v>-0.6</v>
      </c>
      <c r="L24">
        <v>-0.3</v>
      </c>
      <c r="M24">
        <v>-0.5</v>
      </c>
      <c r="N24">
        <v>-0.1</v>
      </c>
      <c r="O24">
        <v>-0.8</v>
      </c>
      <c r="P24">
        <v>-0.8</v>
      </c>
      <c r="Q24">
        <v>-3.5</v>
      </c>
      <c r="R24">
        <v>-2.8</v>
      </c>
      <c r="S24">
        <v>-9.6999999999999993</v>
      </c>
      <c r="T24">
        <v>-2.7</v>
      </c>
      <c r="U24">
        <v>-3.4</v>
      </c>
      <c r="V24">
        <v>-0.9</v>
      </c>
    </row>
    <row r="25" spans="1:22" x14ac:dyDescent="0.3">
      <c r="A25" t="s">
        <v>160</v>
      </c>
      <c r="B25">
        <v>2.1</v>
      </c>
      <c r="C25">
        <v>2.4</v>
      </c>
      <c r="D25">
        <v>3.8</v>
      </c>
      <c r="E25">
        <v>8.8000000000000007</v>
      </c>
      <c r="F25">
        <v>2.7</v>
      </c>
      <c r="G25">
        <v>6.2</v>
      </c>
      <c r="H25">
        <v>0</v>
      </c>
      <c r="I25">
        <v>3.9</v>
      </c>
      <c r="J25">
        <v>6.2</v>
      </c>
      <c r="K25">
        <v>13.1</v>
      </c>
      <c r="L25">
        <v>8.8000000000000007</v>
      </c>
      <c r="M25">
        <v>14.5</v>
      </c>
      <c r="N25">
        <v>7.1</v>
      </c>
      <c r="O25">
        <v>14</v>
      </c>
      <c r="P25">
        <v>8</v>
      </c>
      <c r="Q25">
        <v>36.6</v>
      </c>
      <c r="R25">
        <v>21.5</v>
      </c>
      <c r="S25">
        <v>38.5</v>
      </c>
      <c r="T25">
        <v>7.5</v>
      </c>
      <c r="U25">
        <v>8.5</v>
      </c>
      <c r="V25">
        <v>3.4</v>
      </c>
    </row>
    <row r="26" spans="1:22" x14ac:dyDescent="0.3">
      <c r="A26" t="s">
        <v>161</v>
      </c>
      <c r="B26">
        <v>-1.8</v>
      </c>
      <c r="C26">
        <v>-2.1</v>
      </c>
      <c r="D26">
        <v>-1</v>
      </c>
      <c r="E26">
        <v>-2.7</v>
      </c>
      <c r="F26">
        <v>-1.8</v>
      </c>
      <c r="G26">
        <v>-3.6</v>
      </c>
      <c r="H26">
        <v>-1.7</v>
      </c>
      <c r="I26">
        <v>-3.7</v>
      </c>
      <c r="J26">
        <v>-1.9</v>
      </c>
      <c r="K26">
        <v>-3.6</v>
      </c>
      <c r="L26">
        <v>-2</v>
      </c>
      <c r="M26">
        <v>-4.5</v>
      </c>
      <c r="N26">
        <v>-2.2999999999999998</v>
      </c>
      <c r="O26">
        <v>-5</v>
      </c>
      <c r="P26">
        <v>-5.9</v>
      </c>
      <c r="Q26">
        <v>-9.6</v>
      </c>
      <c r="R26">
        <v>-3.7</v>
      </c>
      <c r="S26">
        <v>-6.6</v>
      </c>
      <c r="T26">
        <v>-5.4</v>
      </c>
      <c r="U26">
        <v>-12.5</v>
      </c>
      <c r="V26">
        <v>-6.5</v>
      </c>
    </row>
    <row r="27" spans="1:22" x14ac:dyDescent="0.3">
      <c r="A27" t="s">
        <v>162</v>
      </c>
      <c r="C27">
        <v>0</v>
      </c>
      <c r="G27">
        <v>0</v>
      </c>
      <c r="M27">
        <v>0</v>
      </c>
      <c r="O27">
        <v>0.1</v>
      </c>
      <c r="T27">
        <v>1</v>
      </c>
      <c r="U27">
        <v>0.8</v>
      </c>
    </row>
    <row r="28" spans="1:22" x14ac:dyDescent="0.3">
      <c r="A28" t="s">
        <v>50</v>
      </c>
      <c r="O28">
        <v>-15</v>
      </c>
      <c r="P28">
        <v>-35.299999999999997</v>
      </c>
      <c r="Q28">
        <v>-35.299999999999997</v>
      </c>
      <c r="S28">
        <v>-13.9</v>
      </c>
      <c r="U28">
        <v>-10.9</v>
      </c>
      <c r="V28">
        <v>-7.2</v>
      </c>
    </row>
    <row r="29" spans="1:22" x14ac:dyDescent="0.3">
      <c r="A29" t="s">
        <v>163</v>
      </c>
    </row>
    <row r="30" spans="1:22" x14ac:dyDescent="0.3">
      <c r="A30" t="s">
        <v>189</v>
      </c>
    </row>
    <row r="31" spans="1:22" x14ac:dyDescent="0.3">
      <c r="A31" t="s">
        <v>184</v>
      </c>
    </row>
    <row r="32" spans="1:22" x14ac:dyDescent="0.3">
      <c r="A32" t="s">
        <v>164</v>
      </c>
    </row>
    <row r="33" spans="1:22" x14ac:dyDescent="0.3">
      <c r="A33" t="s">
        <v>165</v>
      </c>
    </row>
    <row r="34" spans="1:22" x14ac:dyDescent="0.3">
      <c r="A34" t="s">
        <v>166</v>
      </c>
    </row>
    <row r="35" spans="1:22" x14ac:dyDescent="0.3">
      <c r="A35" t="s">
        <v>167</v>
      </c>
    </row>
    <row r="36" spans="1:22" x14ac:dyDescent="0.3">
      <c r="A36" t="s">
        <v>168</v>
      </c>
      <c r="E36">
        <v>0.1</v>
      </c>
    </row>
    <row r="37" spans="1:22" x14ac:dyDescent="0.3">
      <c r="A37" t="s">
        <v>169</v>
      </c>
      <c r="B37">
        <v>-1.8</v>
      </c>
      <c r="C37">
        <v>-2.1</v>
      </c>
      <c r="D37">
        <v>-1</v>
      </c>
      <c r="E37">
        <v>-2.6</v>
      </c>
      <c r="F37">
        <v>-1.8</v>
      </c>
      <c r="G37">
        <v>-3.6</v>
      </c>
      <c r="H37">
        <v>-1.7</v>
      </c>
      <c r="I37">
        <v>-3.7</v>
      </c>
      <c r="J37">
        <v>-1.9</v>
      </c>
      <c r="K37">
        <v>-3.6</v>
      </c>
      <c r="L37">
        <v>-2</v>
      </c>
      <c r="M37">
        <v>-4.5</v>
      </c>
      <c r="N37">
        <v>-2.2999999999999998</v>
      </c>
      <c r="O37">
        <v>-19.899999999999999</v>
      </c>
      <c r="P37">
        <v>-41.2</v>
      </c>
      <c r="Q37">
        <v>-44.9</v>
      </c>
      <c r="R37">
        <v>-3.7</v>
      </c>
      <c r="S37">
        <v>-20.6</v>
      </c>
      <c r="T37">
        <v>-4.4000000000000004</v>
      </c>
      <c r="U37">
        <v>-22.6</v>
      </c>
      <c r="V37">
        <v>-13.6</v>
      </c>
    </row>
    <row r="38" spans="1:22" x14ac:dyDescent="0.3">
      <c r="A38" t="s">
        <v>170</v>
      </c>
      <c r="B38">
        <v>0</v>
      </c>
      <c r="E38">
        <v>0.2</v>
      </c>
      <c r="H38">
        <v>0.2</v>
      </c>
      <c r="I38">
        <v>0.2</v>
      </c>
      <c r="J38">
        <v>0.3</v>
      </c>
      <c r="K38">
        <v>0.3</v>
      </c>
      <c r="L38">
        <v>0.3</v>
      </c>
      <c r="M38">
        <v>0.3</v>
      </c>
      <c r="N38">
        <v>0</v>
      </c>
      <c r="P38">
        <v>0</v>
      </c>
      <c r="R38">
        <v>0</v>
      </c>
    </row>
    <row r="39" spans="1:22" x14ac:dyDescent="0.3">
      <c r="A39" t="s">
        <v>52</v>
      </c>
    </row>
    <row r="40" spans="1:22" x14ac:dyDescent="0.3">
      <c r="A40" t="s">
        <v>171</v>
      </c>
      <c r="P40">
        <v>36</v>
      </c>
      <c r="Q40">
        <v>36</v>
      </c>
      <c r="S40">
        <v>7.4</v>
      </c>
      <c r="U40">
        <v>13.2</v>
      </c>
      <c r="V40">
        <v>15.7</v>
      </c>
    </row>
    <row r="41" spans="1:22" x14ac:dyDescent="0.3">
      <c r="A41" t="s">
        <v>172</v>
      </c>
      <c r="P41">
        <v>-3</v>
      </c>
      <c r="Q41">
        <v>-24</v>
      </c>
      <c r="R41">
        <v>-12</v>
      </c>
      <c r="S41">
        <v>-19.3</v>
      </c>
      <c r="V41">
        <v>-2</v>
      </c>
    </row>
    <row r="42" spans="1:22" x14ac:dyDescent="0.3">
      <c r="A42" t="s">
        <v>173</v>
      </c>
      <c r="T42">
        <v>-2.2000000000000002</v>
      </c>
      <c r="V42">
        <v>-2.4</v>
      </c>
    </row>
    <row r="43" spans="1:22" x14ac:dyDescent="0.3">
      <c r="A43" t="s">
        <v>174</v>
      </c>
    </row>
    <row r="44" spans="1:22" x14ac:dyDescent="0.3">
      <c r="A44" t="s">
        <v>175</v>
      </c>
      <c r="B44">
        <v>-0.5</v>
      </c>
      <c r="C44">
        <v>-1</v>
      </c>
      <c r="E44">
        <v>-4.2</v>
      </c>
      <c r="G44">
        <v>-0.3</v>
      </c>
      <c r="H44">
        <v>-0.6</v>
      </c>
      <c r="I44">
        <v>-1</v>
      </c>
      <c r="J44">
        <v>-0.7</v>
      </c>
      <c r="K44">
        <v>-1.1000000000000001</v>
      </c>
      <c r="L44">
        <v>-1.1000000000000001</v>
      </c>
      <c r="M44">
        <v>-1.7</v>
      </c>
      <c r="N44">
        <v>-1.3</v>
      </c>
      <c r="O44">
        <v>-2</v>
      </c>
      <c r="P44">
        <v>-1.5</v>
      </c>
      <c r="Q44">
        <v>-2.2999999999999998</v>
      </c>
      <c r="R44">
        <v>-1.7</v>
      </c>
      <c r="S44">
        <v>-2.6</v>
      </c>
      <c r="T44">
        <v>-2.2000000000000002</v>
      </c>
      <c r="U44">
        <v>-3.2</v>
      </c>
      <c r="V44">
        <v>-2.4</v>
      </c>
    </row>
    <row r="45" spans="1:22" x14ac:dyDescent="0.3">
      <c r="A45" t="s">
        <v>292</v>
      </c>
    </row>
    <row r="46" spans="1:22" x14ac:dyDescent="0.3">
      <c r="A46" t="s">
        <v>185</v>
      </c>
      <c r="Q46">
        <v>-1</v>
      </c>
      <c r="R46">
        <v>-0.3</v>
      </c>
      <c r="S46">
        <v>-1.1000000000000001</v>
      </c>
      <c r="T46">
        <v>-0.5</v>
      </c>
      <c r="U46">
        <v>-1.2</v>
      </c>
      <c r="V46">
        <v>-0.4</v>
      </c>
    </row>
    <row r="47" spans="1:22" x14ac:dyDescent="0.3">
      <c r="A47" t="s">
        <v>188</v>
      </c>
    </row>
    <row r="48" spans="1:22" x14ac:dyDescent="0.3">
      <c r="A48" t="s">
        <v>51</v>
      </c>
    </row>
    <row r="49" spans="1:22" x14ac:dyDescent="0.3">
      <c r="A49" t="s">
        <v>176</v>
      </c>
      <c r="B49">
        <v>-0.5</v>
      </c>
      <c r="C49">
        <v>-1</v>
      </c>
      <c r="E49">
        <v>-4.2</v>
      </c>
      <c r="G49">
        <v>-0.3</v>
      </c>
      <c r="H49">
        <v>-0.6</v>
      </c>
      <c r="I49">
        <v>-1</v>
      </c>
      <c r="J49">
        <v>-0.7</v>
      </c>
      <c r="K49">
        <v>-1.1000000000000001</v>
      </c>
      <c r="L49">
        <v>-1.1000000000000001</v>
      </c>
      <c r="M49">
        <v>-1.7</v>
      </c>
      <c r="N49">
        <v>-1.3</v>
      </c>
      <c r="O49">
        <v>-2</v>
      </c>
      <c r="P49">
        <v>-1.9</v>
      </c>
      <c r="Q49">
        <v>-2.6</v>
      </c>
      <c r="R49">
        <v>-1.7</v>
      </c>
      <c r="S49">
        <v>-2.6</v>
      </c>
      <c r="T49">
        <v>0</v>
      </c>
      <c r="U49">
        <v>-3.2</v>
      </c>
    </row>
    <row r="50" spans="1:22" x14ac:dyDescent="0.3">
      <c r="A50" t="s">
        <v>177</v>
      </c>
      <c r="B50">
        <v>-0.5</v>
      </c>
      <c r="C50">
        <v>-1</v>
      </c>
      <c r="E50">
        <v>-4</v>
      </c>
      <c r="G50">
        <v>-0.3</v>
      </c>
      <c r="H50">
        <v>-0.5</v>
      </c>
      <c r="I50">
        <v>-0.8</v>
      </c>
      <c r="J50">
        <v>-0.5</v>
      </c>
      <c r="K50">
        <v>-0.9</v>
      </c>
      <c r="L50">
        <v>-0.8</v>
      </c>
      <c r="M50">
        <v>-1.4</v>
      </c>
      <c r="N50">
        <v>-1.3</v>
      </c>
      <c r="O50">
        <v>-2</v>
      </c>
      <c r="P50">
        <v>31.1</v>
      </c>
      <c r="Q50">
        <v>8.4</v>
      </c>
      <c r="R50">
        <v>-14</v>
      </c>
      <c r="S50">
        <v>-15.6</v>
      </c>
      <c r="T50">
        <v>-2.6</v>
      </c>
      <c r="U50">
        <v>8.8000000000000007</v>
      </c>
      <c r="V50">
        <v>10.9</v>
      </c>
    </row>
    <row r="51" spans="1:22" x14ac:dyDescent="0.3">
      <c r="A51" t="s">
        <v>178</v>
      </c>
      <c r="B51">
        <v>-0.2</v>
      </c>
      <c r="C51">
        <v>-0.7</v>
      </c>
      <c r="D51">
        <v>2.8</v>
      </c>
      <c r="E51">
        <v>2.2000000000000002</v>
      </c>
      <c r="F51">
        <v>0.9</v>
      </c>
      <c r="G51">
        <v>2.4</v>
      </c>
      <c r="H51">
        <v>-2.2000000000000002</v>
      </c>
      <c r="I51">
        <v>-0.6</v>
      </c>
      <c r="J51">
        <v>3.8</v>
      </c>
      <c r="K51">
        <v>8.6</v>
      </c>
      <c r="L51">
        <v>6</v>
      </c>
      <c r="M51">
        <v>8.6</v>
      </c>
      <c r="N51">
        <v>3.6</v>
      </c>
      <c r="O51">
        <v>-7.9</v>
      </c>
      <c r="P51">
        <v>-2.1</v>
      </c>
      <c r="Q51">
        <v>0.1</v>
      </c>
      <c r="R51">
        <v>3.8</v>
      </c>
      <c r="S51">
        <v>2.4</v>
      </c>
      <c r="T51">
        <v>0.5</v>
      </c>
      <c r="U51">
        <v>-5.3</v>
      </c>
      <c r="V51">
        <v>0.6</v>
      </c>
    </row>
    <row r="52" spans="1:22" x14ac:dyDescent="0.3">
      <c r="A52" t="s">
        <v>179</v>
      </c>
    </row>
    <row r="53" spans="1:22" x14ac:dyDescent="0.3">
      <c r="A53" t="s">
        <v>180</v>
      </c>
      <c r="B53">
        <v>2.5</v>
      </c>
      <c r="C53">
        <v>2.2999999999999998</v>
      </c>
      <c r="D53">
        <v>1.6</v>
      </c>
      <c r="E53">
        <v>1.6</v>
      </c>
      <c r="F53">
        <v>3.8</v>
      </c>
      <c r="G53">
        <v>3.8</v>
      </c>
      <c r="H53">
        <v>6.2</v>
      </c>
      <c r="I53">
        <v>6.2</v>
      </c>
      <c r="J53">
        <v>5.6</v>
      </c>
      <c r="K53">
        <v>5.6</v>
      </c>
      <c r="L53">
        <v>14.2</v>
      </c>
      <c r="M53">
        <v>14.2</v>
      </c>
      <c r="N53">
        <v>22.8</v>
      </c>
      <c r="O53">
        <v>22.8</v>
      </c>
      <c r="P53">
        <v>14.9</v>
      </c>
      <c r="Q53">
        <v>14.9</v>
      </c>
      <c r="R53">
        <v>15</v>
      </c>
      <c r="S53">
        <v>15</v>
      </c>
      <c r="T53">
        <v>17.3</v>
      </c>
      <c r="U53">
        <v>17.3</v>
      </c>
      <c r="V53">
        <v>12.8</v>
      </c>
    </row>
    <row r="54" spans="1:22" x14ac:dyDescent="0.3">
      <c r="A54" t="s">
        <v>178</v>
      </c>
      <c r="B54">
        <v>-0.2</v>
      </c>
      <c r="C54">
        <v>-0.7</v>
      </c>
      <c r="D54">
        <v>2.8</v>
      </c>
      <c r="E54">
        <v>2.2000000000000002</v>
      </c>
      <c r="F54">
        <v>0.9</v>
      </c>
      <c r="G54">
        <v>2.4</v>
      </c>
      <c r="H54">
        <v>-2.2000000000000002</v>
      </c>
      <c r="I54">
        <v>-0.6</v>
      </c>
      <c r="J54">
        <v>3.8</v>
      </c>
      <c r="K54">
        <v>8.6</v>
      </c>
      <c r="L54">
        <v>6</v>
      </c>
      <c r="M54">
        <v>8.6</v>
      </c>
      <c r="N54">
        <v>3.6</v>
      </c>
      <c r="O54">
        <v>-7.9</v>
      </c>
      <c r="P54">
        <v>-2.1</v>
      </c>
      <c r="Q54">
        <v>0.1</v>
      </c>
      <c r="R54">
        <v>3.8</v>
      </c>
      <c r="S54">
        <v>2.4</v>
      </c>
      <c r="T54">
        <v>0.5</v>
      </c>
      <c r="U54">
        <v>-5.3</v>
      </c>
      <c r="V54">
        <v>0.6</v>
      </c>
    </row>
    <row r="55" spans="1:22" x14ac:dyDescent="0.3">
      <c r="A55" t="s">
        <v>181</v>
      </c>
      <c r="L55">
        <v>-0.4</v>
      </c>
      <c r="N55">
        <v>-0.2</v>
      </c>
      <c r="T55">
        <v>0</v>
      </c>
      <c r="U55">
        <v>0.7</v>
      </c>
      <c r="V55">
        <v>0.1</v>
      </c>
    </row>
    <row r="56" spans="1:22" x14ac:dyDescent="0.3">
      <c r="A56" t="s">
        <v>182</v>
      </c>
      <c r="B56">
        <v>2.2999999999999998</v>
      </c>
      <c r="C56">
        <v>1.6</v>
      </c>
      <c r="D56">
        <v>4.4000000000000004</v>
      </c>
      <c r="E56">
        <v>3.8</v>
      </c>
      <c r="F56">
        <v>4.7</v>
      </c>
      <c r="G56">
        <v>6.2</v>
      </c>
      <c r="H56">
        <v>4</v>
      </c>
      <c r="I56">
        <v>5.6</v>
      </c>
      <c r="J56">
        <v>9.4</v>
      </c>
      <c r="K56">
        <v>14.2</v>
      </c>
      <c r="L56">
        <v>19.7</v>
      </c>
      <c r="M56">
        <v>22.8</v>
      </c>
      <c r="N56">
        <v>26.2</v>
      </c>
      <c r="O56">
        <v>14.9</v>
      </c>
      <c r="P56">
        <v>12.8</v>
      </c>
      <c r="Q56">
        <v>15</v>
      </c>
      <c r="R56">
        <v>18.8</v>
      </c>
      <c r="S56">
        <v>17.3</v>
      </c>
      <c r="T56">
        <v>17.8</v>
      </c>
      <c r="U56">
        <v>12.8</v>
      </c>
      <c r="V56">
        <v>13.5</v>
      </c>
    </row>
    <row r="57" spans="1:22" x14ac:dyDescent="0.3">
      <c r="A57" t="s">
        <v>183</v>
      </c>
    </row>
    <row r="58" spans="1:22" x14ac:dyDescent="0.3">
      <c r="A58" t="s">
        <v>159</v>
      </c>
      <c r="B58">
        <v>2.5</v>
      </c>
      <c r="C58">
        <v>2.7</v>
      </c>
      <c r="D58">
        <v>4.3</v>
      </c>
      <c r="E58">
        <v>9.6999999999999993</v>
      </c>
      <c r="F58">
        <v>3.1</v>
      </c>
      <c r="G58">
        <v>7</v>
      </c>
      <c r="H58">
        <v>0.6</v>
      </c>
      <c r="I58">
        <v>3.8</v>
      </c>
      <c r="J58">
        <v>6.2</v>
      </c>
      <c r="K58">
        <v>13.7</v>
      </c>
      <c r="L58">
        <v>9.1</v>
      </c>
      <c r="M58">
        <v>15.3</v>
      </c>
      <c r="N58">
        <v>7.1</v>
      </c>
      <c r="O58">
        <v>14.6</v>
      </c>
      <c r="P58">
        <v>9</v>
      </c>
      <c r="Q58">
        <v>40.9</v>
      </c>
      <c r="R58">
        <v>25.2</v>
      </c>
      <c r="S58">
        <v>49.1</v>
      </c>
      <c r="T58">
        <v>11.3</v>
      </c>
      <c r="U58">
        <v>14.1</v>
      </c>
      <c r="V58">
        <v>5.8</v>
      </c>
    </row>
    <row r="59" spans="1:22" x14ac:dyDescent="0.3">
      <c r="A59" t="s">
        <v>49</v>
      </c>
      <c r="B59">
        <v>-0.4</v>
      </c>
      <c r="C59">
        <v>-0.3</v>
      </c>
      <c r="D59">
        <v>-0.5</v>
      </c>
      <c r="E59">
        <v>-0.8</v>
      </c>
      <c r="F59">
        <v>-0.5</v>
      </c>
      <c r="G59">
        <v>-0.8</v>
      </c>
      <c r="H59">
        <v>-0.7</v>
      </c>
      <c r="I59">
        <v>-0.2</v>
      </c>
      <c r="J59">
        <v>-0.1</v>
      </c>
      <c r="K59">
        <v>-0.6</v>
      </c>
      <c r="L59">
        <v>-0.3</v>
      </c>
      <c r="M59">
        <v>-0.5</v>
      </c>
      <c r="N59">
        <v>-0.1</v>
      </c>
      <c r="O59">
        <v>-0.8</v>
      </c>
      <c r="P59">
        <v>-0.8</v>
      </c>
      <c r="Q59">
        <v>-3.5</v>
      </c>
      <c r="R59">
        <v>-2.8</v>
      </c>
      <c r="S59">
        <v>-9.6999999999999993</v>
      </c>
      <c r="T59">
        <v>-2.7</v>
      </c>
      <c r="U59">
        <v>-3.4</v>
      </c>
      <c r="V59">
        <v>-0.9</v>
      </c>
    </row>
    <row r="60" spans="1:22" x14ac:dyDescent="0.3">
      <c r="A60" t="s">
        <v>161</v>
      </c>
      <c r="B60">
        <v>-1.8</v>
      </c>
      <c r="C60">
        <v>-2.1</v>
      </c>
      <c r="D60">
        <v>-1</v>
      </c>
      <c r="E60">
        <v>-2.7</v>
      </c>
      <c r="F60">
        <v>-1.8</v>
      </c>
      <c r="G60">
        <v>-3.6</v>
      </c>
      <c r="H60">
        <v>-1.7</v>
      </c>
      <c r="I60">
        <v>-3.7</v>
      </c>
      <c r="J60">
        <v>-1.9</v>
      </c>
      <c r="K60">
        <v>-3.6</v>
      </c>
      <c r="L60">
        <v>-2</v>
      </c>
      <c r="M60">
        <v>-4.5</v>
      </c>
      <c r="N60">
        <v>-2.2999999999999998</v>
      </c>
      <c r="O60">
        <v>-5</v>
      </c>
      <c r="P60">
        <v>-5.9</v>
      </c>
      <c r="Q60">
        <v>-9.6</v>
      </c>
      <c r="R60">
        <v>-3.7</v>
      </c>
      <c r="S60">
        <v>-6.6</v>
      </c>
      <c r="T60">
        <v>-5.4</v>
      </c>
      <c r="U60">
        <v>-12.5</v>
      </c>
      <c r="V60">
        <v>-6.5</v>
      </c>
    </row>
    <row r="61" spans="1:22" x14ac:dyDescent="0.3">
      <c r="A61" t="s">
        <v>184</v>
      </c>
    </row>
    <row r="62" spans="1:22" x14ac:dyDescent="0.3">
      <c r="A62" t="s">
        <v>185</v>
      </c>
      <c r="Q62">
        <v>-1</v>
      </c>
      <c r="R62">
        <v>-0.3</v>
      </c>
      <c r="S62">
        <v>-1.1000000000000001</v>
      </c>
      <c r="T62">
        <v>-0.5</v>
      </c>
      <c r="U62">
        <v>-1.2</v>
      </c>
      <c r="V62">
        <v>-0.4</v>
      </c>
    </row>
    <row r="63" spans="1:22" x14ac:dyDescent="0.3">
      <c r="A63" t="s">
        <v>186</v>
      </c>
      <c r="B63">
        <v>0.1</v>
      </c>
      <c r="C63">
        <v>0</v>
      </c>
      <c r="D63">
        <v>0</v>
      </c>
      <c r="E63">
        <v>-0.1</v>
      </c>
      <c r="F63">
        <v>0.1</v>
      </c>
      <c r="G63">
        <v>0.1</v>
      </c>
      <c r="H63">
        <v>0.2</v>
      </c>
      <c r="I63">
        <v>0.4</v>
      </c>
      <c r="J63">
        <v>0.1</v>
      </c>
      <c r="K63">
        <v>0.1</v>
      </c>
      <c r="M63">
        <v>-0.2</v>
      </c>
      <c r="O63">
        <v>0.2</v>
      </c>
      <c r="P63">
        <v>-0.1</v>
      </c>
      <c r="Q63">
        <v>-0.3</v>
      </c>
      <c r="R63">
        <v>-0.7</v>
      </c>
      <c r="S63">
        <v>-0.6</v>
      </c>
      <c r="T63">
        <v>-1.3</v>
      </c>
      <c r="U63">
        <v>-1.9</v>
      </c>
      <c r="V63">
        <v>-0.9</v>
      </c>
    </row>
    <row r="64" spans="1:22" x14ac:dyDescent="0.3">
      <c r="A64" t="s">
        <v>187</v>
      </c>
      <c r="B64">
        <v>0.4</v>
      </c>
      <c r="C64">
        <v>0.3</v>
      </c>
      <c r="D64">
        <v>2.8</v>
      </c>
      <c r="E64">
        <v>6.1</v>
      </c>
      <c r="F64">
        <v>0.9</v>
      </c>
      <c r="G64">
        <v>2.7</v>
      </c>
      <c r="H64">
        <v>-1.7</v>
      </c>
      <c r="I64">
        <v>0.3</v>
      </c>
      <c r="J64">
        <v>4.3</v>
      </c>
      <c r="K64">
        <v>9.5</v>
      </c>
      <c r="L64">
        <v>6.8</v>
      </c>
      <c r="M64">
        <v>10</v>
      </c>
      <c r="N64">
        <v>4.8</v>
      </c>
      <c r="O64">
        <v>8.9</v>
      </c>
      <c r="P64">
        <v>2.2000000000000002</v>
      </c>
      <c r="Q64">
        <v>26.5</v>
      </c>
      <c r="R64">
        <v>17.600000000000001</v>
      </c>
      <c r="S64">
        <v>31.2</v>
      </c>
      <c r="T64">
        <v>1.4</v>
      </c>
      <c r="U64">
        <v>-4.9000000000000004</v>
      </c>
      <c r="V64">
        <v>-2.9</v>
      </c>
    </row>
    <row r="65" spans="1:22" x14ac:dyDescent="0.3">
      <c r="A65" t="s">
        <v>188</v>
      </c>
    </row>
    <row r="66" spans="1:22" x14ac:dyDescent="0.3">
      <c r="A66" t="s">
        <v>51</v>
      </c>
      <c r="L66">
        <v>0</v>
      </c>
      <c r="M66">
        <v>0</v>
      </c>
      <c r="Q66">
        <v>-0.4</v>
      </c>
      <c r="R66">
        <v>-0.1</v>
      </c>
      <c r="S66">
        <v>-0.3</v>
      </c>
      <c r="U66">
        <v>-0.3</v>
      </c>
      <c r="V66">
        <v>-0.6</v>
      </c>
    </row>
    <row r="67" spans="1:22" x14ac:dyDescent="0.3">
      <c r="A67" t="s">
        <v>189</v>
      </c>
      <c r="B67">
        <v>0</v>
      </c>
      <c r="D67">
        <v>0</v>
      </c>
      <c r="E67">
        <v>0.1</v>
      </c>
      <c r="F67">
        <v>0</v>
      </c>
      <c r="G67">
        <v>0</v>
      </c>
      <c r="H67">
        <v>-0.1</v>
      </c>
      <c r="I67">
        <v>-0.1</v>
      </c>
      <c r="J67">
        <v>0</v>
      </c>
      <c r="K67">
        <v>0</v>
      </c>
      <c r="N67">
        <v>0.1</v>
      </c>
      <c r="O67">
        <v>0.1</v>
      </c>
      <c r="P67">
        <v>-0.2</v>
      </c>
      <c r="T67">
        <v>0.2</v>
      </c>
    </row>
    <row r="68" spans="1:22" x14ac:dyDescent="0.3">
      <c r="A68" t="s">
        <v>190</v>
      </c>
      <c r="B68">
        <v>0.4</v>
      </c>
      <c r="C68">
        <v>0.3</v>
      </c>
      <c r="D68">
        <v>2.8</v>
      </c>
      <c r="E68">
        <v>6.1</v>
      </c>
      <c r="F68">
        <v>0.9</v>
      </c>
      <c r="G68">
        <v>2.7</v>
      </c>
      <c r="H68">
        <v>-1.7</v>
      </c>
      <c r="I68">
        <v>0.2</v>
      </c>
      <c r="J68">
        <v>4.3</v>
      </c>
      <c r="K68">
        <v>9.4</v>
      </c>
      <c r="L68">
        <v>6.8</v>
      </c>
      <c r="M68">
        <v>10</v>
      </c>
      <c r="N68">
        <v>4.9000000000000004</v>
      </c>
      <c r="O68">
        <v>9</v>
      </c>
      <c r="P68">
        <v>2</v>
      </c>
      <c r="Q68">
        <v>26</v>
      </c>
      <c r="R68">
        <v>17.5</v>
      </c>
      <c r="S68">
        <v>30.8</v>
      </c>
      <c r="T68">
        <v>1.7</v>
      </c>
      <c r="U68">
        <v>-5.2</v>
      </c>
      <c r="V68">
        <v>-3.5</v>
      </c>
    </row>
    <row r="69" spans="1:22" x14ac:dyDescent="0.3">
      <c r="A69" t="s">
        <v>191</v>
      </c>
    </row>
    <row r="70" spans="1:22" x14ac:dyDescent="0.3">
      <c r="A70" t="s">
        <v>192</v>
      </c>
      <c r="B70">
        <v>4.2</v>
      </c>
      <c r="C70">
        <v>4.7</v>
      </c>
      <c r="D70">
        <v>7.1</v>
      </c>
      <c r="E70">
        <v>16.600000000000001</v>
      </c>
      <c r="F70">
        <v>5.2</v>
      </c>
      <c r="G70">
        <v>11.9</v>
      </c>
      <c r="H70">
        <v>1</v>
      </c>
      <c r="I70">
        <v>6.5</v>
      </c>
      <c r="J70">
        <v>10.8</v>
      </c>
      <c r="K70">
        <v>23.6</v>
      </c>
      <c r="L70">
        <v>15.7</v>
      </c>
      <c r="M70">
        <v>26.3</v>
      </c>
      <c r="N70">
        <v>12.3</v>
      </c>
      <c r="O70">
        <v>25.1</v>
      </c>
      <c r="P70">
        <v>15.5</v>
      </c>
      <c r="Q70">
        <v>70</v>
      </c>
      <c r="R70">
        <v>42.7</v>
      </c>
      <c r="S70">
        <v>83.7</v>
      </c>
      <c r="T70">
        <v>19.2</v>
      </c>
      <c r="U70">
        <v>23.9</v>
      </c>
      <c r="V70">
        <v>9.8000000000000007</v>
      </c>
    </row>
    <row r="71" spans="1:22" x14ac:dyDescent="0.3">
      <c r="A71" t="s">
        <v>193</v>
      </c>
      <c r="B71">
        <v>0.6</v>
      </c>
      <c r="C71">
        <v>0.5</v>
      </c>
      <c r="D71">
        <v>4.5999999999999996</v>
      </c>
      <c r="E71">
        <v>10.6</v>
      </c>
      <c r="F71">
        <v>1.5</v>
      </c>
      <c r="G71">
        <v>4.5999999999999996</v>
      </c>
      <c r="H71">
        <v>-3</v>
      </c>
      <c r="I71">
        <v>0.4</v>
      </c>
      <c r="J71">
        <v>7.4</v>
      </c>
      <c r="K71">
        <v>16.3</v>
      </c>
      <c r="L71">
        <v>11.7</v>
      </c>
      <c r="M71">
        <v>17.2</v>
      </c>
      <c r="N71">
        <v>8.4</v>
      </c>
      <c r="O71">
        <v>15.5</v>
      </c>
      <c r="P71">
        <v>3.5</v>
      </c>
      <c r="Q71">
        <v>44.5</v>
      </c>
      <c r="R71">
        <v>29.7</v>
      </c>
      <c r="S71">
        <v>52.5</v>
      </c>
      <c r="T71">
        <v>2.8</v>
      </c>
      <c r="U71">
        <v>-8.8000000000000007</v>
      </c>
      <c r="V71">
        <v>-5.9</v>
      </c>
    </row>
    <row r="72" spans="1:22" x14ac:dyDescent="0.3">
      <c r="A72" t="s">
        <v>194</v>
      </c>
      <c r="B72">
        <v>0.6</v>
      </c>
      <c r="C72">
        <v>0.5</v>
      </c>
      <c r="D72">
        <v>4.5999999999999996</v>
      </c>
      <c r="E72">
        <v>10.5</v>
      </c>
      <c r="F72">
        <v>1.5</v>
      </c>
      <c r="G72">
        <v>4.5999999999999996</v>
      </c>
      <c r="H72">
        <v>-2.8</v>
      </c>
      <c r="I72">
        <v>0.6</v>
      </c>
      <c r="J72">
        <v>7.4</v>
      </c>
      <c r="K72">
        <v>16.399999999999999</v>
      </c>
      <c r="L72">
        <v>11.7</v>
      </c>
      <c r="M72">
        <v>17.3</v>
      </c>
      <c r="N72">
        <v>8.1999999999999993</v>
      </c>
      <c r="O72">
        <v>15.4</v>
      </c>
      <c r="P72">
        <v>3.7</v>
      </c>
      <c r="Q72">
        <v>45.3</v>
      </c>
      <c r="R72">
        <v>29.9</v>
      </c>
      <c r="S72">
        <v>53.1</v>
      </c>
      <c r="T72">
        <v>2.4</v>
      </c>
      <c r="U72">
        <v>-8.3000000000000007</v>
      </c>
      <c r="V72">
        <v>-4.8</v>
      </c>
    </row>
    <row r="73" spans="1:22" x14ac:dyDescent="0.3">
      <c r="A73" t="s">
        <v>195</v>
      </c>
      <c r="B73">
        <v>3.1</v>
      </c>
      <c r="C73">
        <v>3.7</v>
      </c>
      <c r="D73">
        <v>1.6</v>
      </c>
      <c r="E73">
        <v>4.5999999999999996</v>
      </c>
      <c r="F73">
        <v>3</v>
      </c>
      <c r="G73">
        <v>6.1</v>
      </c>
      <c r="H73">
        <v>2.9</v>
      </c>
      <c r="I73">
        <v>6.3</v>
      </c>
      <c r="J73">
        <v>3.4</v>
      </c>
      <c r="K73">
        <v>6.3</v>
      </c>
      <c r="L73">
        <v>3.5</v>
      </c>
      <c r="M73">
        <v>7.8</v>
      </c>
      <c r="N73">
        <v>3.9</v>
      </c>
      <c r="O73">
        <v>8.6</v>
      </c>
      <c r="P73">
        <v>10.199999999999999</v>
      </c>
      <c r="Q73">
        <v>16.399999999999999</v>
      </c>
      <c r="R73">
        <v>6.3</v>
      </c>
      <c r="S73">
        <v>11.3</v>
      </c>
      <c r="T73">
        <v>9.1999999999999993</v>
      </c>
      <c r="U73">
        <v>21.2</v>
      </c>
      <c r="V73">
        <v>10.9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D1BF-557B-48BE-A054-77E8CACF84E6}">
  <sheetPr>
    <tabColor theme="4" tint="0.79998168889431442"/>
  </sheetPr>
  <dimension ref="A1:W84"/>
  <sheetViews>
    <sheetView tabSelected="1" zoomScale="104" zoomScaleNormal="63" workbookViewId="0">
      <selection activeCell="D9" sqref="D9"/>
    </sheetView>
  </sheetViews>
  <sheetFormatPr defaultColWidth="9.109375" defaultRowHeight="14.4" x14ac:dyDescent="0.3"/>
  <cols>
    <col min="1" max="1" width="2.6640625" style="1" customWidth="1"/>
    <col min="2" max="3" width="12.6640625" style="1" customWidth="1"/>
    <col min="4" max="4" width="14.5546875" style="1" bestFit="1" customWidth="1"/>
    <col min="5" max="5" width="12.6640625" style="8" customWidth="1"/>
    <col min="6" max="9" width="12.6640625" style="1" customWidth="1"/>
    <col min="10" max="10" width="14.33203125" style="1" bestFit="1" customWidth="1"/>
    <col min="11" max="44" width="12.6640625" style="1" customWidth="1"/>
    <col min="45" max="16384" width="9.109375" style="1"/>
  </cols>
  <sheetData>
    <row r="1" spans="1:23" ht="35.4" customHeight="1" x14ac:dyDescent="0.65">
      <c r="B1" s="66" t="s">
        <v>133</v>
      </c>
    </row>
    <row r="2" spans="1:23" s="15" customFormat="1" ht="15" thickBot="1" x14ac:dyDescent="0.35">
      <c r="A2" s="13"/>
      <c r="B2" s="14" t="str">
        <f ca="1">UPPER(cover!E8&amp;" - "&amp;DAY(cover!E12)&amp;"/"&amp;MONTH(cover!E12)&amp;"/"&amp;YEAR(cover!E12))</f>
        <v>FOCUSRITE PLC - 20/5/2023</v>
      </c>
      <c r="E2" s="13"/>
    </row>
    <row r="3" spans="1:23" ht="15" thickTop="1" x14ac:dyDescent="0.3">
      <c r="B3" s="25" t="str">
        <f>IF(checks!E10&lt;&gt;0,"**ERROR**","")</f>
        <v/>
      </c>
    </row>
    <row r="4" spans="1:23" s="3" customFormat="1" x14ac:dyDescent="0.3">
      <c r="A4" s="5"/>
      <c r="B4" s="2" t="s">
        <v>111</v>
      </c>
      <c r="E4" s="4"/>
    </row>
    <row r="5" spans="1:23" x14ac:dyDescent="0.3">
      <c r="B5" s="38"/>
    </row>
    <row r="6" spans="1:23" x14ac:dyDescent="0.3">
      <c r="B6" s="2" t="s">
        <v>111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">
      <c r="E7" s="1"/>
    </row>
    <row r="8" spans="1:23" x14ac:dyDescent="0.3">
      <c r="B8" s="1" t="s">
        <v>75</v>
      </c>
      <c r="D8" s="59">
        <f>WACC!I25</f>
        <v>0.12121400786295643</v>
      </c>
      <c r="E8" s="1"/>
      <c r="F8" s="47" t="s">
        <v>123</v>
      </c>
      <c r="J8" s="2" t="s">
        <v>89</v>
      </c>
      <c r="K8" s="2"/>
      <c r="L8" s="2"/>
      <c r="N8" s="2" t="s">
        <v>86</v>
      </c>
      <c r="O8" s="2"/>
      <c r="P8" s="2"/>
    </row>
    <row r="9" spans="1:23" x14ac:dyDescent="0.3">
      <c r="B9" s="1" t="s">
        <v>76</v>
      </c>
      <c r="D9" s="59">
        <v>0.02</v>
      </c>
      <c r="E9" s="1"/>
      <c r="F9" s="21" t="s">
        <v>129</v>
      </c>
      <c r="G9" s="21"/>
      <c r="H9" s="58">
        <f>($D$13*$D$12/10^8-SUM($L$10:$L$13))/SUM($Q$49)</f>
        <v>15.071821225309675</v>
      </c>
      <c r="J9" s="1" t="s">
        <v>90</v>
      </c>
      <c r="L9" s="37">
        <f ca="1">SUM(E76:L76)</f>
        <v>310.2474447051506</v>
      </c>
      <c r="N9" s="1" t="s">
        <v>88</v>
      </c>
      <c r="P9" s="36">
        <f>WACC!E14</f>
        <v>540</v>
      </c>
    </row>
    <row r="10" spans="1:23" x14ac:dyDescent="0.3">
      <c r="B10" s="1" t="s">
        <v>77</v>
      </c>
      <c r="D10" s="16">
        <f ca="1">cover!E12</f>
        <v>45066</v>
      </c>
      <c r="E10" s="1"/>
      <c r="F10" s="21" t="s">
        <v>128</v>
      </c>
      <c r="G10" s="21"/>
      <c r="H10" s="58">
        <f>($D$13*$D$12/10^8-SUM($L$10:$L$13))/SUM($R$49)</f>
        <v>25.202292655976031</v>
      </c>
      <c r="J10" s="1" t="s">
        <v>91</v>
      </c>
      <c r="L10" s="95">
        <f>(-12934+5004-11458-636)/1000</f>
        <v>-20.024000000000001</v>
      </c>
      <c r="N10" s="1" t="s">
        <v>101</v>
      </c>
      <c r="P10" s="36">
        <f ca="1">L16-P9</f>
        <v>-40.052681542843686</v>
      </c>
    </row>
    <row r="11" spans="1:23" x14ac:dyDescent="0.3">
      <c r="B11" s="1" t="s">
        <v>98</v>
      </c>
      <c r="D11" s="16">
        <f>cover!E13</f>
        <v>44985</v>
      </c>
      <c r="F11" s="21" t="s">
        <v>127</v>
      </c>
      <c r="G11" s="21"/>
      <c r="H11" s="58">
        <f>($D$13*$D$12/10^8-SUM($L$10:$L$13))/SUM($S$49)</f>
        <v>15.983899052204775</v>
      </c>
      <c r="J11" s="1" t="s">
        <v>106</v>
      </c>
      <c r="L11" s="95">
        <f>(913)/1000</f>
        <v>0.91300000000000003</v>
      </c>
      <c r="N11" s="1" t="s">
        <v>102</v>
      </c>
      <c r="P11" s="29">
        <f ca="1">1-(P9/L16)</f>
        <v>-8.0113804123296051E-2</v>
      </c>
    </row>
    <row r="12" spans="1:23" x14ac:dyDescent="0.3">
      <c r="B12" s="1" t="s">
        <v>110</v>
      </c>
      <c r="D12" s="41">
        <f>WACC!E14</f>
        <v>540</v>
      </c>
      <c r="F12" s="21" t="s">
        <v>124</v>
      </c>
      <c r="G12" s="47"/>
      <c r="H12" s="58">
        <f>($D$13*$D$12/10^8-SUM($L$10:$L$13))/SUM($Q$47)</f>
        <v>9.8662130177514804</v>
      </c>
      <c r="I12" s="53"/>
      <c r="J12" s="1" t="s">
        <v>107</v>
      </c>
      <c r="L12" s="95">
        <f>(-673-494)/1000</f>
        <v>-1.167</v>
      </c>
      <c r="N12" s="1" t="s">
        <v>103</v>
      </c>
      <c r="P12" s="18">
        <f ca="1">L16*0.7</f>
        <v>349.96312292000943</v>
      </c>
    </row>
    <row r="13" spans="1:23" x14ac:dyDescent="0.3">
      <c r="B13" s="1" t="s">
        <v>78</v>
      </c>
      <c r="D13" s="60">
        <f>'detailed-financials'!L65*10^6</f>
        <v>58000000</v>
      </c>
      <c r="F13" s="21" t="s">
        <v>126</v>
      </c>
      <c r="G13" s="21"/>
      <c r="H13" s="58">
        <f>($D$13*$D$12/10^8-SUM($L$10:$L$13))/SUM($R$47)</f>
        <v>13.950693877461099</v>
      </c>
      <c r="J13" s="1" t="s">
        <v>109</v>
      </c>
      <c r="L13" s="63"/>
    </row>
    <row r="14" spans="1:23" x14ac:dyDescent="0.3">
      <c r="B14" s="38"/>
      <c r="F14" s="21" t="s">
        <v>125</v>
      </c>
      <c r="G14" s="21"/>
      <c r="H14" s="58">
        <f>($D$13*$D$12/10^8-SUM($L$10:$L$13))/SUM($S$47)</f>
        <v>10.623666653180555</v>
      </c>
      <c r="J14" s="38" t="s">
        <v>92</v>
      </c>
      <c r="K14" s="38"/>
      <c r="L14" s="39">
        <f ca="1">SUM(L9:L13)</f>
        <v>289.96944470515064</v>
      </c>
    </row>
    <row r="15" spans="1:23" x14ac:dyDescent="0.3">
      <c r="B15" s="38" t="s">
        <v>120</v>
      </c>
      <c r="D15" s="54">
        <f>summary!P9</f>
        <v>540</v>
      </c>
      <c r="E15" s="1"/>
      <c r="F15" s="21" t="s">
        <v>130</v>
      </c>
      <c r="G15" s="21"/>
      <c r="H15" s="58">
        <f>($D$13*$D$12/10^8)/SUM($Q$51)</f>
        <v>20.585055159161964</v>
      </c>
    </row>
    <row r="16" spans="1:23" x14ac:dyDescent="0.3">
      <c r="B16" s="38" t="s">
        <v>122</v>
      </c>
      <c r="D16" s="54">
        <f ca="1">summary!L16</f>
        <v>499.94731845715631</v>
      </c>
      <c r="E16" s="1"/>
      <c r="F16" s="21" t="s">
        <v>131</v>
      </c>
      <c r="G16" s="21"/>
      <c r="H16" s="58">
        <f>($D$13*$D$12/10^8)/SUM($R$51)</f>
        <v>34.93589333759131</v>
      </c>
      <c r="J16" s="1" t="s">
        <v>93</v>
      </c>
      <c r="L16" s="19">
        <f ca="1">L14/D13*10^8</f>
        <v>499.94731845715631</v>
      </c>
    </row>
    <row r="17" spans="2:23" x14ac:dyDescent="0.3">
      <c r="B17" s="47" t="s">
        <v>119</v>
      </c>
      <c r="D17" s="55">
        <f ca="1">1-D15/D16</f>
        <v>-8.0113804123296051E-2</v>
      </c>
      <c r="E17" s="1"/>
      <c r="F17" s="21" t="s">
        <v>132</v>
      </c>
      <c r="G17" s="21"/>
      <c r="H17" s="58">
        <f>($D$13*$D$12/10^8)/SUM($S$51)</f>
        <v>21.32283000926817</v>
      </c>
    </row>
    <row r="18" spans="2:23" x14ac:dyDescent="0.3">
      <c r="B18" s="38"/>
    </row>
    <row r="19" spans="2:23" x14ac:dyDescent="0.3">
      <c r="B19" s="1" t="s">
        <v>15</v>
      </c>
      <c r="E19" s="16">
        <f>'detailed-financials'!E6</f>
        <v>41152</v>
      </c>
      <c r="F19" s="16">
        <f>'detailed-financials'!F6</f>
        <v>41517</v>
      </c>
      <c r="G19" s="16">
        <f>'detailed-financials'!G6</f>
        <v>41882</v>
      </c>
      <c r="H19" s="16">
        <f>'detailed-financials'!H6</f>
        <v>42247</v>
      </c>
      <c r="I19" s="16">
        <f>'detailed-financials'!I6</f>
        <v>42613</v>
      </c>
      <c r="J19" s="16">
        <f>'detailed-financials'!J6</f>
        <v>42978</v>
      </c>
      <c r="K19" s="16">
        <f>'detailed-financials'!K6</f>
        <v>43343</v>
      </c>
      <c r="L19" s="16">
        <f>'detailed-financials'!L6</f>
        <v>43708</v>
      </c>
      <c r="M19" s="16">
        <f>'detailed-financials'!M6</f>
        <v>44074</v>
      </c>
      <c r="N19" s="16">
        <f>'detailed-financials'!N6</f>
        <v>44439</v>
      </c>
      <c r="O19" s="16">
        <f>'detailed-financials'!O6</f>
        <v>44804</v>
      </c>
      <c r="P19" s="16">
        <f>'detailed-financials'!P6</f>
        <v>44985</v>
      </c>
      <c r="Q19" s="16">
        <f>'detailed-financials'!Q6</f>
        <v>45169</v>
      </c>
      <c r="R19" s="16">
        <f>'detailed-financials'!R6</f>
        <v>45535</v>
      </c>
      <c r="S19" s="16">
        <f>'detailed-financials'!S6</f>
        <v>45900</v>
      </c>
      <c r="T19" s="16">
        <f>'detailed-financials'!T6</f>
        <v>46265</v>
      </c>
      <c r="U19" s="16">
        <f>'detailed-financials'!U6</f>
        <v>46630</v>
      </c>
      <c r="V19" s="16">
        <f>'detailed-financials'!V6</f>
        <v>46996</v>
      </c>
      <c r="W19" s="16">
        <f>'detailed-financials'!W6</f>
        <v>47361</v>
      </c>
    </row>
    <row r="20" spans="2:23" x14ac:dyDescent="0.3">
      <c r="B20" s="1" t="s">
        <v>43</v>
      </c>
      <c r="E20" s="1">
        <f>'detailed-financials'!E7</f>
        <v>12</v>
      </c>
      <c r="F20" s="1">
        <f>'detailed-financials'!F7</f>
        <v>12</v>
      </c>
      <c r="G20" s="1">
        <f>'detailed-financials'!G7</f>
        <v>12</v>
      </c>
      <c r="H20" s="1">
        <f>'detailed-financials'!H7</f>
        <v>12</v>
      </c>
      <c r="I20" s="1">
        <f>'detailed-financials'!I7</f>
        <v>12</v>
      </c>
      <c r="J20" s="1">
        <f>'detailed-financials'!J7</f>
        <v>12</v>
      </c>
      <c r="K20" s="1">
        <f>'detailed-financials'!K7</f>
        <v>12</v>
      </c>
      <c r="L20" s="1">
        <f>'detailed-financials'!L7</f>
        <v>12</v>
      </c>
      <c r="M20" s="1">
        <f>'detailed-financials'!M7</f>
        <v>12</v>
      </c>
      <c r="N20" s="1">
        <f>'detailed-financials'!N7</f>
        <v>12</v>
      </c>
      <c r="O20" s="1">
        <f>'detailed-financials'!O7</f>
        <v>12</v>
      </c>
      <c r="P20" s="1">
        <f>'detailed-financials'!P7</f>
        <v>6</v>
      </c>
      <c r="Q20" s="1">
        <f>'detailed-financials'!Q7</f>
        <v>12</v>
      </c>
      <c r="R20" s="1">
        <f>'detailed-financials'!R7</f>
        <v>12</v>
      </c>
      <c r="S20" s="1">
        <f>'detailed-financials'!S7</f>
        <v>12</v>
      </c>
      <c r="T20" s="1">
        <f>'detailed-financials'!T7</f>
        <v>12</v>
      </c>
      <c r="U20" s="1">
        <f>'detailed-financials'!U7</f>
        <v>12</v>
      </c>
      <c r="V20" s="1">
        <f>'detailed-financials'!V7</f>
        <v>12</v>
      </c>
      <c r="W20" s="1">
        <f>'detailed-financials'!W7</f>
        <v>12</v>
      </c>
    </row>
    <row r="21" spans="2:23" x14ac:dyDescent="0.3">
      <c r="B21" s="38"/>
    </row>
    <row r="22" spans="2:23" x14ac:dyDescent="0.3">
      <c r="B22" s="2" t="s">
        <v>134</v>
      </c>
      <c r="C22" s="3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</row>
    <row r="23" spans="2:23" x14ac:dyDescent="0.3">
      <c r="F23" s="8"/>
      <c r="R23" s="99">
        <f>L43*(1+$L$24)^YEARFRAC(L19,R19)</f>
        <v>154.5613053626106</v>
      </c>
    </row>
    <row r="24" spans="2:23" x14ac:dyDescent="0.3">
      <c r="B24" s="1" t="s">
        <v>53</v>
      </c>
      <c r="E24" s="46"/>
      <c r="F24" s="46">
        <f>('detailed-financials'!F50*(12/'detailed-financials'!F$7))/'detailed-financials'!E50-1</f>
        <v>0.4268774703557312</v>
      </c>
      <c r="G24" s="46">
        <f>('detailed-financials'!G50*(12/'detailed-financials'!G$7))/'detailed-financials'!F50-1</f>
        <v>0.1357340720221607</v>
      </c>
      <c r="H24" s="46">
        <f>('detailed-financials'!H50*(12/'detailed-financials'!H$7))/'detailed-financials'!G50-1</f>
        <v>0.1707317073170731</v>
      </c>
      <c r="I24" s="46">
        <f>('detailed-financials'!I50*(12/'detailed-financials'!I$7))/'detailed-financials'!H50-1</f>
        <v>0.13124999999999987</v>
      </c>
      <c r="J24" s="46">
        <f>('detailed-financials'!J50*(12/'detailed-financials'!J$7))/'detailed-financials'!I50-1</f>
        <v>0.21731123388581941</v>
      </c>
      <c r="K24" s="46">
        <f>('detailed-financials'!K50*(12/'detailed-financials'!K$7))/'detailed-financials'!J50-1</f>
        <v>0.13615733736762481</v>
      </c>
      <c r="L24" s="46">
        <f>('detailed-financials'!L50*(12/'detailed-financials'!L$7))/'detailed-financials'!K50-1</f>
        <v>0.12782956058588568</v>
      </c>
      <c r="M24" s="46">
        <f>('detailed-financials'!M50*(12/'detailed-financials'!M$7))/'detailed-financials'!L50-1</f>
        <v>0.53600944510035409</v>
      </c>
      <c r="N24" s="46">
        <f>('detailed-financials'!N50*(12/'detailed-financials'!N$7))/'detailed-financials'!M50-1</f>
        <v>0.3366641045349732</v>
      </c>
      <c r="O24" s="46">
        <f>('detailed-financials'!O50*(12/'detailed-financials'!O$7))/'detailed-financials'!N50-1</f>
        <v>5.6354226566992516E-2</v>
      </c>
      <c r="P24" s="46">
        <f>('detailed-financials'!P50*(12/'detailed-financials'!P$7))/'detailed-financials'!O50-1</f>
        <v>-6.1513336962438658E-2</v>
      </c>
      <c r="Q24" s="61">
        <f>P24</f>
        <v>-6.1513336962438658E-2</v>
      </c>
      <c r="R24" s="61">
        <f>R23/Q43-1</f>
        <v>-0.10347270671339559</v>
      </c>
      <c r="S24" s="61">
        <v>0.12</v>
      </c>
      <c r="T24" s="61">
        <v>0.1</v>
      </c>
      <c r="U24" s="61">
        <v>0.08</v>
      </c>
      <c r="V24" s="61">
        <v>0.06</v>
      </c>
      <c r="W24" s="61">
        <v>0.04</v>
      </c>
    </row>
    <row r="25" spans="2:23" x14ac:dyDescent="0.3">
      <c r="B25" s="1" t="s">
        <v>281</v>
      </c>
      <c r="E25" s="46"/>
      <c r="F25" s="46"/>
      <c r="G25" s="46"/>
      <c r="H25" s="46"/>
      <c r="I25" s="46"/>
      <c r="J25" s="46">
        <f>('detailed-financials'!J50/'detailed-financials'!E50)^(1/5)-1</f>
        <v>0.21175881488500115</v>
      </c>
      <c r="K25" s="46">
        <f>('detailed-financials'!K50/'detailed-financials'!F50)^(1/5)-1</f>
        <v>0.15778134338830574</v>
      </c>
      <c r="L25" s="46">
        <f>('detailed-financials'!L50/'detailed-financials'!G50)^(1/5)-1</f>
        <v>0.15616524668171072</v>
      </c>
      <c r="M25" s="46">
        <f>('detailed-financials'!M50/'detailed-financials'!H50)^(1/5)-1</f>
        <v>0.22069512969564187</v>
      </c>
      <c r="N25" s="46">
        <f>('detailed-financials'!N50/'detailed-financials'!I50)^(1/5)-1</f>
        <v>0.2621179706670449</v>
      </c>
      <c r="O25" s="46">
        <f>('detailed-financials'!O50/'detailed-financials'!J50)^(1/5)-1</f>
        <v>0.22682195478195766</v>
      </c>
      <c r="P25" s="46">
        <f>('detailed-financials'!P50/'detailed-financials'!K50)^(1/5)-1</f>
        <v>2.7953490987969953E-2</v>
      </c>
      <c r="Q25" s="75">
        <f>('detailed-financials'!Q50/'detailed-financials'!K50)^(1/5)-1</f>
        <v>0.18080848411134065</v>
      </c>
      <c r="R25" s="75">
        <f>('detailed-financials'!R50/'detailed-financials'!L50)^(1/5)-1</f>
        <v>0.12782956058588568</v>
      </c>
      <c r="S25" s="75">
        <f>('detailed-financials'!S50/'detailed-financials'!M50)^(1/5)-1</f>
        <v>5.8786269365669774E-2</v>
      </c>
      <c r="T25" s="75">
        <f>('detailed-financials'!T50/'detailed-financials'!N50)^(1/5)-1</f>
        <v>1.8315561549629766E-2</v>
      </c>
      <c r="U25" s="75">
        <f>('detailed-financials'!U50/'detailed-financials'!O50)^(1/5)-1</f>
        <v>2.2834143260027195E-2</v>
      </c>
      <c r="V25" s="75">
        <f>('detailed-financials'!V50/'detailed-financials'!Q50)^(1/5)-1</f>
        <v>4.8047023294318647E-2</v>
      </c>
      <c r="W25" s="75">
        <f>('detailed-financials'!W50/'detailed-financials'!R50)^(1/5)-1</f>
        <v>7.9629477091761158E-2</v>
      </c>
    </row>
    <row r="26" spans="2:23" x14ac:dyDescent="0.3">
      <c r="B26" s="1" t="s">
        <v>297</v>
      </c>
      <c r="E26" s="46">
        <f>'detailed-financials'!E52/'detailed-financials'!E50</f>
        <v>0.38339920948616601</v>
      </c>
      <c r="F26" s="46">
        <f>'detailed-financials'!F52/'detailed-financials'!F50</f>
        <v>0.39612188365650969</v>
      </c>
      <c r="G26" s="46">
        <f>'detailed-financials'!G52/'detailed-financials'!G50</f>
        <v>0.38780487804878044</v>
      </c>
      <c r="H26" s="46">
        <f>'detailed-financials'!H52/'detailed-financials'!H50</f>
        <v>0.38750000000000001</v>
      </c>
      <c r="I26" s="46">
        <f>'detailed-financials'!I52/'detailed-financials'!I50</f>
        <v>0.38489871086556171</v>
      </c>
      <c r="J26" s="46">
        <f>'detailed-financials'!J52/'detailed-financials'!J50</f>
        <v>0.39939485627836602</v>
      </c>
      <c r="K26" s="46">
        <f>'detailed-financials'!K52/'detailed-financials'!K50</f>
        <v>0.42210386151797602</v>
      </c>
      <c r="L26" s="46">
        <f>'detailed-financials'!L52/'detailed-financials'!L50</f>
        <v>0.42266824085005905</v>
      </c>
      <c r="M26" s="46">
        <f>'detailed-financials'!M52/'detailed-financials'!M50</f>
        <v>0.46041506533435816</v>
      </c>
      <c r="N26" s="46">
        <f>'detailed-financials'!N52/'detailed-financials'!N50</f>
        <v>0.48361127084531341</v>
      </c>
      <c r="O26" s="46">
        <f>'detailed-financials'!O52/'detailed-financials'!O50</f>
        <v>0.45291235710397382</v>
      </c>
      <c r="P26" s="46">
        <f>'detailed-financials'!P52/'detailed-financials'!P50</f>
        <v>0.47099767981438517</v>
      </c>
      <c r="Q26" s="61">
        <f>P26</f>
        <v>0.47099767981438517</v>
      </c>
      <c r="R26" s="61">
        <f>P26-($Q$26-$W$26)/5</f>
        <v>0.46133179202151997</v>
      </c>
      <c r="S26" s="61">
        <f>Q26-($Q$26-$W$26)/5</f>
        <v>0.46133179202151997</v>
      </c>
      <c r="T26" s="61">
        <f>R26-($Q$26-$W$26)/5</f>
        <v>0.45166590422865477</v>
      </c>
      <c r="U26" s="61">
        <f>S26-($Q$26-$W$26)/5</f>
        <v>0.45166590422865477</v>
      </c>
      <c r="V26" s="61">
        <f>T26-($Q$26-$W$26)/5</f>
        <v>0.44200001643578957</v>
      </c>
      <c r="W26" s="61">
        <f>L26</f>
        <v>0.42266824085005905</v>
      </c>
    </row>
    <row r="27" spans="2:23" x14ac:dyDescent="0.3">
      <c r="B27" s="1" t="s">
        <v>311</v>
      </c>
      <c r="E27" s="72">
        <f>-'detailed-financials'!E53</f>
        <v>5.7000000000000011</v>
      </c>
      <c r="F27" s="72">
        <f>-'detailed-financials'!F53</f>
        <v>7.2000000000000011</v>
      </c>
      <c r="G27" s="72">
        <f>-'detailed-financials'!G53</f>
        <v>8.3999999999999986</v>
      </c>
      <c r="H27" s="72">
        <f>-'detailed-financials'!H53</f>
        <v>10.200000000000001</v>
      </c>
      <c r="I27" s="72">
        <f>-'detailed-financials'!I53</f>
        <v>11.299999999999999</v>
      </c>
      <c r="J27" s="72">
        <f>-'detailed-financials'!J53</f>
        <v>13.399999999999991</v>
      </c>
      <c r="K27" s="72">
        <f>-'detailed-financials'!K53</f>
        <v>15.999999999999996</v>
      </c>
      <c r="L27" s="72">
        <f>-'detailed-financials'!L53</f>
        <v>19.500000000000007</v>
      </c>
      <c r="M27" s="72">
        <f>-'detailed-financials'!M53</f>
        <v>43.79999999999999</v>
      </c>
      <c r="N27" s="72">
        <f>-'detailed-financials'!N53</f>
        <v>37.900000000000013</v>
      </c>
      <c r="O27" s="72">
        <f>-'detailed-financials'!O53</f>
        <v>42.399999999999991</v>
      </c>
      <c r="P27" s="72">
        <f>-'detailed-financials'!P53</f>
        <v>23.700000000000003</v>
      </c>
      <c r="Q27" s="74">
        <f>P27*2</f>
        <v>47.400000000000006</v>
      </c>
      <c r="R27" s="74">
        <f t="shared" ref="R26:T27" si="0">Q27</f>
        <v>47.400000000000006</v>
      </c>
      <c r="S27" s="74">
        <f>28%*S43</f>
        <v>48.470425361714696</v>
      </c>
      <c r="T27" s="74">
        <f>26%*T43</f>
        <v>49.509077333751435</v>
      </c>
      <c r="U27" s="74">
        <f>24%*U43</f>
        <v>49.356741711186046</v>
      </c>
      <c r="V27" s="74">
        <f>22%*V43</f>
        <v>47.958300696035778</v>
      </c>
      <c r="W27" s="74">
        <f>22%*W43</f>
        <v>49.876632723877215</v>
      </c>
    </row>
    <row r="28" spans="2:23" x14ac:dyDescent="0.3">
      <c r="B28" s="1" t="s">
        <v>310</v>
      </c>
      <c r="E28" s="46">
        <f>E27/'detailed-financials'!E50</f>
        <v>0.22529644268774707</v>
      </c>
      <c r="F28" s="46">
        <f>F27/'detailed-financials'!F50</f>
        <v>0.1994459833795014</v>
      </c>
      <c r="G28" s="46">
        <f>G27/'detailed-financials'!G50</f>
        <v>0.20487804878048776</v>
      </c>
      <c r="H28" s="46">
        <f>H27/'detailed-financials'!H50</f>
        <v>0.21250000000000002</v>
      </c>
      <c r="I28" s="46">
        <f>I27/'detailed-financials'!I50</f>
        <v>0.20810313075506445</v>
      </c>
      <c r="J28" s="46">
        <f>J27/'detailed-financials'!J50</f>
        <v>0.2027231467473524</v>
      </c>
      <c r="K28" s="46">
        <f>K27/'detailed-financials'!K50</f>
        <v>0.21304926764314244</v>
      </c>
      <c r="L28" s="46">
        <f>L27/'detailed-financials'!L50</f>
        <v>0.23022432113341212</v>
      </c>
      <c r="M28" s="46">
        <f>M27/'detailed-financials'!M50</f>
        <v>0.33666410453497303</v>
      </c>
      <c r="N28" s="46">
        <f>N27/'detailed-financials'!N50</f>
        <v>0.21794134560092013</v>
      </c>
      <c r="O28" s="46">
        <f>O27/'detailed-financials'!O50</f>
        <v>0.23081110506260202</v>
      </c>
      <c r="P28" s="46">
        <f>P27/'detailed-financials'!P50</f>
        <v>0.27494199535962882</v>
      </c>
      <c r="Q28" s="97">
        <f>Q27/'detailed-financials'!Q50</f>
        <v>0.27494199535962882</v>
      </c>
      <c r="R28" s="97">
        <f>R27/'detailed-financials'!R50</f>
        <v>0.30667442856280624</v>
      </c>
      <c r="S28" s="97">
        <f>S27/'detailed-financials'!S50</f>
        <v>0.28000000000000003</v>
      </c>
      <c r="T28" s="97">
        <f>T27/'detailed-financials'!T50</f>
        <v>0.26</v>
      </c>
      <c r="U28" s="97">
        <f>U27/'detailed-financials'!U50</f>
        <v>0.24</v>
      </c>
      <c r="V28" s="97">
        <f>V27/'detailed-financials'!V50</f>
        <v>0.22</v>
      </c>
      <c r="W28" s="97">
        <f>W27/'detailed-financials'!W50</f>
        <v>0.22</v>
      </c>
    </row>
    <row r="29" spans="2:23" x14ac:dyDescent="0.3">
      <c r="B29" s="1" t="s">
        <v>298</v>
      </c>
      <c r="E29" s="46"/>
      <c r="F29" s="46">
        <f>-'detailed-financials'!F56*12/F20/('detailed-financials'!E19+'detailed-financials'!E18)</f>
        <v>0.78260869565217395</v>
      </c>
      <c r="G29" s="46">
        <f>-'detailed-financials'!G56*12/G20/('detailed-financials'!F19+'detailed-financials'!F18)</f>
        <v>0.67857142857142827</v>
      </c>
      <c r="H29" s="46">
        <f>-'detailed-financials'!H56*12/H20/('detailed-financials'!G19+'detailed-financials'!G18)</f>
        <v>0.65714285714285714</v>
      </c>
      <c r="I29" s="46">
        <f>-'detailed-financials'!I56*12/I20/('detailed-financials'!H19+'detailed-financials'!H18)</f>
        <v>0.54166666666666663</v>
      </c>
      <c r="J29" s="46">
        <f>-'detailed-financials'!J56*12/J20/('detailed-financials'!I19+'detailed-financials'!I18)</f>
        <v>0.6</v>
      </c>
      <c r="K29" s="46">
        <f>-'detailed-financials'!K56*12/K20/('detailed-financials'!J19+'detailed-financials'!J18)</f>
        <v>0.61016949152542366</v>
      </c>
      <c r="L29" s="46">
        <f>-'detailed-financials'!L56*12/L20/('detailed-financials'!K19+'detailed-financials'!K18)</f>
        <v>0.52173913043478237</v>
      </c>
      <c r="M29" s="46">
        <f>-'detailed-financials'!M56*12/M20/('detailed-financials'!L19+'detailed-financials'!L18)</f>
        <v>0.42156862745098039</v>
      </c>
      <c r="N29" s="46">
        <f>-'detailed-financials'!N56*12/N20/('detailed-financials'!M19+'detailed-financials'!M18)</f>
        <v>0.22696629213483149</v>
      </c>
      <c r="O29" s="46">
        <f>-'detailed-financials'!O56*12/O20/('detailed-financials'!N19+'detailed-financials'!N18)</f>
        <v>0.18406072106261856</v>
      </c>
      <c r="P29" s="46">
        <f>-'detailed-financials'!P56*12/P20/('detailed-financials'!O19+'detailed-financials'!O18)</f>
        <v>0.14814814814814808</v>
      </c>
      <c r="Q29" s="61">
        <f>P29</f>
        <v>0.14814814814814808</v>
      </c>
      <c r="R29" s="61">
        <f t="shared" ref="R29:T29" si="1">Q29</f>
        <v>0.14814814814814808</v>
      </c>
      <c r="S29" s="61">
        <f t="shared" si="1"/>
        <v>0.14814814814814808</v>
      </c>
      <c r="T29" s="61">
        <f t="shared" si="1"/>
        <v>0.14814814814814808</v>
      </c>
      <c r="U29" s="61">
        <f t="shared" ref="U26:U30" si="2">T29</f>
        <v>0.14814814814814808</v>
      </c>
      <c r="V29" s="61">
        <f t="shared" ref="V26:V30" si="3">U29</f>
        <v>0.14814814814814808</v>
      </c>
      <c r="W29" s="61">
        <f t="shared" ref="W26:W30" si="4">V29</f>
        <v>0.14814814814814808</v>
      </c>
    </row>
    <row r="30" spans="2:23" x14ac:dyDescent="0.3">
      <c r="B30" s="1" t="s">
        <v>282</v>
      </c>
      <c r="E30" s="46"/>
      <c r="F30" s="46">
        <f>IFERROR(-'detailed-financials'!F58/SUM('detailed-financials'!E28:F28,'detailed-financials'!E26:F26)*2*(12/F20),0)</f>
        <v>0</v>
      </c>
      <c r="G30" s="46">
        <f>IFERROR(-'detailed-financials'!G58/SUM('detailed-financials'!F28:G28,'detailed-financials'!F26:G26)*2*(12/G20),0)</f>
        <v>0</v>
      </c>
      <c r="H30" s="46">
        <f>IFERROR(-'detailed-financials'!H58/SUM('detailed-financials'!G28:H28,'detailed-financials'!G26:H26)*2*(12/H20),0)</f>
        <v>0</v>
      </c>
      <c r="I30" s="46">
        <f>IFERROR(-'detailed-financials'!I58/SUM('detailed-financials'!H28:I28,'detailed-financials'!H26:I26)*2*(12/I20),0)</f>
        <v>0</v>
      </c>
      <c r="J30" s="46">
        <f>IFERROR(-'detailed-financials'!J58/SUM('detailed-financials'!I28:J28,'detailed-financials'!I26:J26)*2*(12/J20),0)</f>
        <v>0</v>
      </c>
      <c r="K30" s="46">
        <f>IFERROR(-'detailed-financials'!K58/SUM('detailed-financials'!J28:K28,'detailed-financials'!J26:K26)*2*(12/K20),0)</f>
        <v>0</v>
      </c>
      <c r="L30" s="46">
        <f>IFERROR(-'detailed-financials'!L58/SUM('detailed-financials'!K28:L28,'detailed-financials'!K26:L26)*2*(12/L20),0)</f>
        <v>-0.33333333333333337</v>
      </c>
      <c r="M30" s="46">
        <f>IFERROR(-'detailed-financials'!M58/SUM('detailed-financials'!L28:M28,'detailed-financials'!L26:M26)*2*(12/M20),0)</f>
        <v>7.0921985815602842E-2</v>
      </c>
      <c r="N30" s="46">
        <f>IFERROR(-'detailed-financials'!N58/SUM('detailed-financials'!M28:N28,'detailed-financials'!M26:N26)*2*(12/N20),0)</f>
        <v>5.4794520547945202E-2</v>
      </c>
      <c r="O30" s="46">
        <f>IFERROR(-'detailed-financials'!O58/SUM('detailed-financials'!N28:O28,'detailed-financials'!N26:O26)*2*(12/O20),0)</f>
        <v>4.065040650406504E-2</v>
      </c>
      <c r="P30" s="46">
        <f>IFERROR(-'detailed-financials'!P58/SUM('detailed-financials'!O28:P28,'detailed-financials'!O26:P26)*2*(12/P20),0)</f>
        <v>4.7713717693836977E-2</v>
      </c>
      <c r="Q30" s="61">
        <f>P30</f>
        <v>4.7713717693836977E-2</v>
      </c>
      <c r="R30" s="61">
        <f>Q30</f>
        <v>4.7713717693836977E-2</v>
      </c>
      <c r="S30" s="61">
        <f>R30</f>
        <v>4.7713717693836977E-2</v>
      </c>
      <c r="T30" s="61">
        <f>S30</f>
        <v>4.7713717693836977E-2</v>
      </c>
      <c r="U30" s="61">
        <f t="shared" si="2"/>
        <v>4.7713717693836977E-2</v>
      </c>
      <c r="V30" s="61">
        <f t="shared" si="3"/>
        <v>4.7713717693836977E-2</v>
      </c>
      <c r="W30" s="61">
        <f t="shared" si="4"/>
        <v>4.7713717693836977E-2</v>
      </c>
    </row>
    <row r="31" spans="2:23" x14ac:dyDescent="0.3">
      <c r="B31" s="1" t="s">
        <v>54</v>
      </c>
      <c r="E31" s="46">
        <f>-'detailed-financials'!E60/'detailed-financials'!E59</f>
        <v>9.9999999999999992E-2</v>
      </c>
      <c r="F31" s="46">
        <f>-'detailed-financials'!F60/'detailed-financials'!F59</f>
        <v>0.11538461538461538</v>
      </c>
      <c r="G31" s="46">
        <f>-'detailed-financials'!G60/'detailed-financials'!G59</f>
        <v>0.13793103448275862</v>
      </c>
      <c r="H31" s="46">
        <f>-'detailed-financials'!H60/'detailed-financials'!H59</f>
        <v>0.15873015873015872</v>
      </c>
      <c r="I31" s="46">
        <f>-'detailed-financials'!I60/'detailed-financials'!I59</f>
        <v>0.12857142857142859</v>
      </c>
      <c r="J31" s="46">
        <f>-'detailed-financials'!J60/'detailed-financials'!J59</f>
        <v>0.10526315789473684</v>
      </c>
      <c r="K31" s="46">
        <f>-'detailed-financials'!K60/'detailed-financials'!K59</f>
        <v>0.10084033613445377</v>
      </c>
      <c r="L31" s="46">
        <f>-'detailed-financials'!L60/'detailed-financials'!L59</f>
        <v>0.10077519379844961</v>
      </c>
      <c r="M31" s="46">
        <f>-'detailed-financials'!M60/'detailed-financials'!M59</f>
        <v>0.41428571428571426</v>
      </c>
      <c r="N31" s="46">
        <f>-'detailed-financials'!N60/'detailed-financials'!N59</f>
        <v>0.19209039548022599</v>
      </c>
      <c r="O31" s="46">
        <f>-'detailed-financials'!O60/'detailed-financials'!O59</f>
        <v>0.18954248366013074</v>
      </c>
      <c r="P31" s="46">
        <f>-'detailed-financials'!P60/'detailed-financials'!P59</f>
        <v>0.22018348623853209</v>
      </c>
      <c r="Q31" s="61">
        <v>0.25</v>
      </c>
      <c r="R31" s="61">
        <v>0.25</v>
      </c>
      <c r="S31" s="61">
        <v>0.25</v>
      </c>
      <c r="T31" s="61">
        <v>0.25</v>
      </c>
      <c r="U31" s="61">
        <v>0.25</v>
      </c>
      <c r="V31" s="61">
        <v>0.25</v>
      </c>
      <c r="W31" s="61">
        <v>0.25</v>
      </c>
    </row>
    <row r="32" spans="2:23" x14ac:dyDescent="0.3">
      <c r="B32" s="1" t="s">
        <v>55</v>
      </c>
      <c r="E32" s="72">
        <f>'detailed-financials'!E13/'detailed-financials'!E50*365*(E20/12)</f>
        <v>116.85770750988144</v>
      </c>
      <c r="F32" s="72">
        <f>'detailed-financials'!F13/'detailed-financials'!F50*365*(F20/12)</f>
        <v>147.61772853185593</v>
      </c>
      <c r="G32" s="72">
        <f>'detailed-financials'!G13/'detailed-financials'!G50*365*(G20/12)</f>
        <v>115.73170731707316</v>
      </c>
      <c r="H32" s="72">
        <f>'detailed-financials'!H13/'detailed-financials'!H50*365*(H20/12)</f>
        <v>124.70833333333336</v>
      </c>
      <c r="I32" s="72">
        <f>'detailed-financials'!I13/'detailed-financials'!I50*365*(I20/12)</f>
        <v>151.91528545119706</v>
      </c>
      <c r="J32" s="72">
        <f>'detailed-financials'!J13/'detailed-financials'!J50*365*(J20/12)</f>
        <v>117.61724659606658</v>
      </c>
      <c r="K32" s="72">
        <f>'detailed-financials'!K13/'detailed-financials'!K50*365*(K20/12)</f>
        <v>120.04660452729695</v>
      </c>
      <c r="L32" s="72">
        <f>'detailed-financials'!L13/'detailed-financials'!L50*365*(L20/12)</f>
        <v>143.93152302243212</v>
      </c>
      <c r="M32" s="72">
        <f>'detailed-financials'!M13/'detailed-financials'!M50*365*(M20/12)</f>
        <v>104.08531898539586</v>
      </c>
      <c r="N32" s="72">
        <f>'detailed-financials'!N13/'detailed-financials'!N50*365*(N20/12)</f>
        <v>76.400230017251275</v>
      </c>
      <c r="O32" s="72">
        <f>'detailed-financials'!O13/'detailed-financials'!O50*365*(O20/12)</f>
        <v>153.39139902014153</v>
      </c>
      <c r="P32" s="72">
        <f>'detailed-financials'!P13/'detailed-financials'!P50*365*(P20/12)</f>
        <v>165.56264501160092</v>
      </c>
      <c r="Q32" s="62">
        <f>O32</f>
        <v>153.39139902014153</v>
      </c>
      <c r="R32" s="62">
        <f t="shared" ref="R32:T34" si="5">Q32</f>
        <v>153.39139902014153</v>
      </c>
      <c r="S32" s="62">
        <f t="shared" si="5"/>
        <v>153.39139902014153</v>
      </c>
      <c r="T32" s="62">
        <f t="shared" si="5"/>
        <v>153.39139902014153</v>
      </c>
      <c r="U32" s="62">
        <f t="shared" ref="U32:U34" si="6">T32</f>
        <v>153.39139902014153</v>
      </c>
      <c r="V32" s="62">
        <f t="shared" ref="V32:V34" si="7">U32</f>
        <v>153.39139902014153</v>
      </c>
      <c r="W32" s="62">
        <f t="shared" ref="W32:W34" si="8">V32</f>
        <v>153.39139902014153</v>
      </c>
    </row>
    <row r="33" spans="2:23" x14ac:dyDescent="0.3">
      <c r="B33" s="1" t="s">
        <v>56</v>
      </c>
      <c r="E33" s="72">
        <f>-'detailed-financials'!E24/'detailed-financials'!E53*365*E20/12</f>
        <v>275.35087719298235</v>
      </c>
      <c r="F33" s="72">
        <f>-'detailed-financials'!F24/'detailed-financials'!F53*365*F20/12</f>
        <v>319.37499999999994</v>
      </c>
      <c r="G33" s="72">
        <f>-'detailed-financials'!G24/'detailed-financials'!G53*365*G20/12</f>
        <v>291.13095238095241</v>
      </c>
      <c r="H33" s="72">
        <f>-'detailed-financials'!H24/'detailed-financials'!H53*365*H20/12</f>
        <v>293.43137254901961</v>
      </c>
      <c r="I33" s="72">
        <f>-'detailed-financials'!I24/'detailed-financials'!I53*365*I20/12</f>
        <v>306.85840707964604</v>
      </c>
      <c r="J33" s="72">
        <f>-'detailed-financials'!J24/'detailed-financials'!J53*365*J20/12</f>
        <v>217.91044776119415</v>
      </c>
      <c r="K33" s="72">
        <f>-'detailed-financials'!K24/'detailed-financials'!K53*365*K20/12</f>
        <v>237.25000000000009</v>
      </c>
      <c r="L33" s="72">
        <f>-'detailed-financials'!L24/'detailed-financials'!L53*365*L20/12</f>
        <v>286.38461538461524</v>
      </c>
      <c r="M33" s="72">
        <f>-'detailed-financials'!M24/'detailed-financials'!M53*365*M20/12</f>
        <v>201.66666666666671</v>
      </c>
      <c r="N33" s="72">
        <f>-'detailed-financials'!N24/'detailed-financials'!N53*365*N20/12</f>
        <v>234.0237467018469</v>
      </c>
      <c r="O33" s="72">
        <f>-'detailed-financials'!O24/'detailed-financials'!O53*365*O20/12</f>
        <v>321.95754716981145</v>
      </c>
      <c r="P33" s="72">
        <f>-'detailed-financials'!P24/'detailed-financials'!P53*365*P20/12</f>
        <v>225.62236286919827</v>
      </c>
      <c r="Q33" s="62">
        <f>O33</f>
        <v>321.95754716981145</v>
      </c>
      <c r="R33" s="62">
        <f t="shared" si="5"/>
        <v>321.95754716981145</v>
      </c>
      <c r="S33" s="62">
        <f t="shared" si="5"/>
        <v>321.95754716981145</v>
      </c>
      <c r="T33" s="62">
        <f t="shared" si="5"/>
        <v>321.95754716981145</v>
      </c>
      <c r="U33" s="62">
        <f t="shared" si="6"/>
        <v>321.95754716981145</v>
      </c>
      <c r="V33" s="62">
        <f t="shared" si="7"/>
        <v>321.95754716981145</v>
      </c>
      <c r="W33" s="62">
        <f t="shared" si="8"/>
        <v>321.95754716981145</v>
      </c>
    </row>
    <row r="34" spans="2:23" x14ac:dyDescent="0.3">
      <c r="B34" s="1" t="s">
        <v>283</v>
      </c>
      <c r="E34" s="72">
        <f>('detailed-financials'!E28+'detailed-financials'!E26)</f>
        <v>0</v>
      </c>
      <c r="F34" s="72">
        <f>('detailed-financials'!F28+'detailed-financials'!F26)</f>
        <v>0</v>
      </c>
      <c r="G34" s="72">
        <f>('detailed-financials'!G28+'detailed-financials'!G26)</f>
        <v>0</v>
      </c>
      <c r="H34" s="72">
        <f>('detailed-financials'!H28+'detailed-financials'!H26)</f>
        <v>0</v>
      </c>
      <c r="I34" s="72">
        <f>('detailed-financials'!I28+'detailed-financials'!I26)</f>
        <v>0</v>
      </c>
      <c r="J34" s="72">
        <f>('detailed-financials'!J28+'detailed-financials'!J26)</f>
        <v>0</v>
      </c>
      <c r="K34" s="72">
        <f>('detailed-financials'!K28+'detailed-financials'!K26)</f>
        <v>0</v>
      </c>
      <c r="L34" s="72">
        <f>('detailed-financials'!L28+'detailed-financials'!L26)</f>
        <v>0.6</v>
      </c>
      <c r="M34" s="72">
        <f>('detailed-financials'!M28+'detailed-financials'!M26)</f>
        <v>13.5</v>
      </c>
      <c r="N34" s="72">
        <f>('detailed-financials'!N28+'detailed-financials'!N26)</f>
        <v>1.1000000000000001</v>
      </c>
      <c r="O34" s="72">
        <f>('detailed-financials'!O28+'detailed-financials'!O26)</f>
        <v>23.5</v>
      </c>
      <c r="P34" s="72">
        <f>('detailed-financials'!P28+'detailed-financials'!P26)</f>
        <v>26.8</v>
      </c>
      <c r="Q34" s="74">
        <f>P34</f>
        <v>26.8</v>
      </c>
      <c r="R34" s="74">
        <f t="shared" si="5"/>
        <v>26.8</v>
      </c>
      <c r="S34" s="74">
        <f t="shared" si="5"/>
        <v>26.8</v>
      </c>
      <c r="T34" s="74">
        <f t="shared" si="5"/>
        <v>26.8</v>
      </c>
      <c r="U34" s="74">
        <f t="shared" si="6"/>
        <v>26.8</v>
      </c>
      <c r="V34" s="74">
        <f t="shared" si="7"/>
        <v>26.8</v>
      </c>
      <c r="W34" s="74">
        <f t="shared" si="8"/>
        <v>26.8</v>
      </c>
    </row>
    <row r="35" spans="2:23" x14ac:dyDescent="0.3">
      <c r="B35" s="1" t="s">
        <v>284</v>
      </c>
      <c r="E35" s="72">
        <f>'detailed-financials'!E12</f>
        <v>2.2999999999999998</v>
      </c>
      <c r="F35" s="72">
        <f>'detailed-financials'!F12</f>
        <v>1.6</v>
      </c>
      <c r="G35" s="72">
        <f>'detailed-financials'!G12</f>
        <v>3.8</v>
      </c>
      <c r="H35" s="72">
        <f>'detailed-financials'!H12</f>
        <v>6.2</v>
      </c>
      <c r="I35" s="72">
        <f>'detailed-financials'!I12</f>
        <v>5.6</v>
      </c>
      <c r="J35" s="72">
        <f>'detailed-financials'!J12</f>
        <v>14.2</v>
      </c>
      <c r="K35" s="72">
        <f>'detailed-financials'!K12</f>
        <v>22.8</v>
      </c>
      <c r="L35" s="72">
        <f>'detailed-financials'!L12</f>
        <v>15.5</v>
      </c>
      <c r="M35" s="72">
        <f>'detailed-financials'!M12</f>
        <v>15</v>
      </c>
      <c r="N35" s="72">
        <f>'detailed-financials'!N12</f>
        <v>17.3</v>
      </c>
      <c r="O35" s="72">
        <f>'detailed-financials'!O12</f>
        <v>12.8</v>
      </c>
      <c r="P35" s="72">
        <f>'detailed-financials'!P12</f>
        <v>13.5</v>
      </c>
      <c r="Q35" s="73">
        <f>'detailed-financials'!Q12</f>
        <v>39.274954426962282</v>
      </c>
      <c r="R35" s="73">
        <f>'detailed-financials'!R12</f>
        <v>55.560396517059203</v>
      </c>
      <c r="S35" s="73">
        <f>'detailed-financials'!S12</f>
        <v>61.175518078176857</v>
      </c>
      <c r="T35" s="73">
        <f>'detailed-financials'!T12</f>
        <v>69.54955021774829</v>
      </c>
      <c r="U35" s="73">
        <f>'detailed-financials'!U12</f>
        <v>81.454959480766917</v>
      </c>
      <c r="V35" s="73">
        <f>'detailed-financials'!V12</f>
        <v>95.990302592313938</v>
      </c>
      <c r="W35" s="73">
        <f>'detailed-financials'!W12</f>
        <v>112.95962839445417</v>
      </c>
    </row>
    <row r="36" spans="2:23" x14ac:dyDescent="0.3">
      <c r="B36" s="1" t="s">
        <v>57</v>
      </c>
      <c r="E36" s="46">
        <f>-'detailed-financials'!E90/'detailed-financials'!E61</f>
        <v>0.18518518518518517</v>
      </c>
      <c r="F36" s="46">
        <f>-'detailed-financials'!F90/'detailed-financials'!F61</f>
        <v>0.21739130434782605</v>
      </c>
      <c r="G36" s="46">
        <f>-'detailed-financials'!G90/'detailed-financials'!G61</f>
        <v>0.84000000000000008</v>
      </c>
      <c r="H36" s="46">
        <f>-'detailed-financials'!H90/'detailed-financials'!H61</f>
        <v>5.6603773584905662E-2</v>
      </c>
      <c r="I36" s="46">
        <f>-'detailed-financials'!I90/'detailed-financials'!I61</f>
        <v>0.16393442622950821</v>
      </c>
      <c r="J36" s="46">
        <f>-'detailed-financials'!J90/'detailed-financials'!J61</f>
        <v>0.12941176470588237</v>
      </c>
      <c r="K36" s="46">
        <f>-'detailed-financials'!K90/'detailed-financials'!K61</f>
        <v>0.15887850467289719</v>
      </c>
      <c r="L36" s="46">
        <f>-'detailed-financials'!L90/'detailed-financials'!L61</f>
        <v>0.17241379310344829</v>
      </c>
      <c r="M36" s="46">
        <f>-'detailed-financials'!M90/'detailed-financials'!M61</f>
        <v>0.56097560975609762</v>
      </c>
      <c r="N36" s="46">
        <f>-'detailed-financials'!N90/'detailed-financials'!N61</f>
        <v>9.0909090909090925E-2</v>
      </c>
      <c r="O36" s="46">
        <f>-'detailed-financials'!O90/'detailed-financials'!O61</f>
        <v>0.12903225806451615</v>
      </c>
      <c r="P36" s="46">
        <f>-'detailed-financials'!P90/'detailed-financials'!P61</f>
        <v>0.28235294117647058</v>
      </c>
      <c r="Q36" s="61">
        <f>O36</f>
        <v>0.12903225806451615</v>
      </c>
      <c r="R36" s="61">
        <f t="shared" ref="R36:T36" si="9">Q36</f>
        <v>0.12903225806451615</v>
      </c>
      <c r="S36" s="61">
        <f t="shared" si="9"/>
        <v>0.12903225806451615</v>
      </c>
      <c r="T36" s="61">
        <f t="shared" si="9"/>
        <v>0.12903225806451615</v>
      </c>
      <c r="U36" s="61">
        <f t="shared" ref="U36" si="10">T36</f>
        <v>0.12903225806451615</v>
      </c>
      <c r="V36" s="61">
        <f t="shared" ref="V36" si="11">U36</f>
        <v>0.12903225806451615</v>
      </c>
      <c r="W36" s="61">
        <f t="shared" ref="W36" si="12">V36</f>
        <v>0.12903225806451615</v>
      </c>
    </row>
    <row r="37" spans="2:23" x14ac:dyDescent="0.3">
      <c r="B37" s="1" t="s">
        <v>58</v>
      </c>
      <c r="E37" s="72">
        <f>-SUM('detailed-financials'!E79)</f>
        <v>1.8</v>
      </c>
      <c r="F37" s="72">
        <f>-SUM('detailed-financials'!F79)</f>
        <v>2.1</v>
      </c>
      <c r="G37" s="72">
        <f>-SUM('detailed-financials'!G79)</f>
        <v>2.7</v>
      </c>
      <c r="H37" s="72">
        <f>-SUM('detailed-financials'!H79)</f>
        <v>3.6</v>
      </c>
      <c r="I37" s="72">
        <f>-SUM('detailed-financials'!I79)</f>
        <v>3.7</v>
      </c>
      <c r="J37" s="72">
        <f>-SUM('detailed-financials'!J79)</f>
        <v>3.6</v>
      </c>
      <c r="K37" s="72">
        <f>-SUM('detailed-financials'!K79)</f>
        <v>4.5</v>
      </c>
      <c r="L37" s="72">
        <f>-SUM('detailed-financials'!L79)</f>
        <v>5</v>
      </c>
      <c r="M37" s="72">
        <f>-SUM('detailed-financials'!M79)</f>
        <v>9.6</v>
      </c>
      <c r="N37" s="72">
        <f>-SUM('detailed-financials'!N79)</f>
        <v>6.6</v>
      </c>
      <c r="O37" s="72">
        <f>-SUM('detailed-financials'!O79)</f>
        <v>12.5</v>
      </c>
      <c r="P37" s="72">
        <f>-SUM('detailed-financials'!P79)</f>
        <v>6.5</v>
      </c>
      <c r="Q37" s="62">
        <f>AVERAGE($E$37:$L$37)/AVERAGE($E$43:$L$43)*Q43</f>
        <v>10.810032512772876</v>
      </c>
      <c r="R37" s="62">
        <f>AVERAGE($E$37:$L$37)/AVERAGE($E$43:$L$43)*R43</f>
        <v>9.6914891890164583</v>
      </c>
      <c r="S37" s="62">
        <f>AVERAGE($E$37:$L$37)/AVERAGE($E$43:$L$43)*S43</f>
        <v>10.854467891698434</v>
      </c>
      <c r="T37" s="62">
        <f>AVERAGE($E$37:$L$37)/AVERAGE($E$43:$L$43)*T43</f>
        <v>11.939914680868279</v>
      </c>
      <c r="U37" s="62">
        <f>AVERAGE($E$37:$L$37)/AVERAGE($E$43:$L$43)*U43</f>
        <v>12.89510785533774</v>
      </c>
      <c r="V37" s="62">
        <f>AVERAGE($E$37:$L$37)/AVERAGE($E$43:$L$43)*V43</f>
        <v>13.668814326658007</v>
      </c>
      <c r="W37" s="62">
        <f>AVERAGE($E$37:$L$37)/AVERAGE($E$43:$L$43)*W43</f>
        <v>14.215566899724328</v>
      </c>
    </row>
    <row r="38" spans="2:23" x14ac:dyDescent="0.3">
      <c r="B38" s="1" t="s">
        <v>299</v>
      </c>
      <c r="E38" s="72">
        <f>-'detailed-financials'!E81</f>
        <v>0</v>
      </c>
      <c r="F38" s="72">
        <f>-'detailed-financials'!F81</f>
        <v>0</v>
      </c>
      <c r="G38" s="72">
        <f>-'detailed-financials'!G81</f>
        <v>0</v>
      </c>
      <c r="H38" s="72">
        <f>-'detailed-financials'!H81</f>
        <v>0</v>
      </c>
      <c r="I38" s="72">
        <f>-'detailed-financials'!I81</f>
        <v>0</v>
      </c>
      <c r="J38" s="72">
        <f>-'detailed-financials'!J81</f>
        <v>0</v>
      </c>
      <c r="K38" s="72">
        <f>-'detailed-financials'!K81</f>
        <v>0</v>
      </c>
      <c r="L38" s="72">
        <f>-'detailed-financials'!L81</f>
        <v>15</v>
      </c>
      <c r="M38" s="72">
        <f>-'detailed-financials'!M81</f>
        <v>35.299999999999997</v>
      </c>
      <c r="N38" s="72">
        <f>-'detailed-financials'!N81</f>
        <v>13.9</v>
      </c>
      <c r="O38" s="72">
        <f>-'detailed-financials'!O81</f>
        <v>10.9</v>
      </c>
      <c r="P38" s="72">
        <f>-'detailed-financials'!P81</f>
        <v>7.2</v>
      </c>
      <c r="Q38" s="73"/>
      <c r="R38" s="73"/>
      <c r="S38" s="73"/>
      <c r="T38" s="73"/>
      <c r="U38" s="73"/>
      <c r="V38" s="73"/>
      <c r="W38" s="73"/>
    </row>
    <row r="39" spans="2:23" x14ac:dyDescent="0.3">
      <c r="B39" s="1" t="s">
        <v>315</v>
      </c>
      <c r="E39" s="46">
        <f>'detailed-financials'!E$57*(1-E$31)/SUM('detailed-financials'!E34,'detailed-financials'!E26,'detailed-financials'!E28,-'detailed-financials'!E12)*(12/'detailed-financials'!E$7)</f>
        <v>0.44262295081967212</v>
      </c>
      <c r="F39" s="46">
        <f>'detailed-financials'!F$57*(1-F$31)/SUM('detailed-financials'!F34,'detailed-financials'!F26,'detailed-financials'!F28,-'detailed-financials'!F12)*(12/'detailed-financials'!F$7)</f>
        <v>0.43396226415094336</v>
      </c>
      <c r="G39" s="46">
        <f>'detailed-financials'!G$57*(1-G$31)/SUM('detailed-financials'!G34,'detailed-financials'!G26,'detailed-financials'!G28,-'detailed-financials'!G12)*(12/'detailed-financials'!G$7)</f>
        <v>0.52836484983314813</v>
      </c>
      <c r="H39" s="46">
        <f>'detailed-financials'!H$57*(1-H$31)/SUM('detailed-financials'!H34,'detailed-financials'!H26,'detailed-financials'!H28,-'detailed-financials'!H12)*(12/'detailed-financials'!H$7)</f>
        <v>0.43089430894308939</v>
      </c>
      <c r="I39" s="46">
        <f>'detailed-financials'!I$57*(1-I$31)/SUM('detailed-financials'!I34,'detailed-financials'!I26,'detailed-financials'!I28,-'detailed-financials'!I12)*(12/'detailed-financials'!I$7)</f>
        <v>0.33809523809523812</v>
      </c>
      <c r="J39" s="46">
        <f>'detailed-financials'!J$57*(1-J$31)/SUM('detailed-financials'!J34,'detailed-financials'!J26,'detailed-financials'!J28,-'detailed-financials'!J12)*(12/'detailed-financials'!J$7)</f>
        <v>0.45454545454545459</v>
      </c>
      <c r="K39" s="46">
        <f>'detailed-financials'!K$57*(1-K$31)/SUM('detailed-financials'!K34,'detailed-financials'!K26,'detailed-financials'!K28,-'detailed-financials'!K12)*(12/'detailed-financials'!K$7)</f>
        <v>0.51690821256038655</v>
      </c>
      <c r="L39" s="46">
        <f>'detailed-financials'!L$57*(1-L$31)/SUM('detailed-financials'!L34,'detailed-financials'!L26,'detailed-financials'!L28,-'detailed-financials'!L12)*(12/'detailed-financials'!L$7)</f>
        <v>0.29896305245142463</v>
      </c>
      <c r="M39" s="46">
        <f>'detailed-financials'!M$57*(1-M$31)/SUM('detailed-financials'!M34,'detailed-financials'!M26,'detailed-financials'!M28,-'detailed-financials'!M12)*(12/'detailed-financials'!M$7)</f>
        <v>7.9150579150579173E-2</v>
      </c>
      <c r="N39" s="46">
        <f>'detailed-financials'!N$57*(1-N$31)/SUM('detailed-financials'!N34,'detailed-financials'!N26,'detailed-financials'!N28,-'detailed-financials'!N12)*(12/'detailed-financials'!N$7)</f>
        <v>0.42471606228792824</v>
      </c>
      <c r="O39" s="46">
        <f>'detailed-financials'!O$57*(1-O$31)/SUM('detailed-financials'!O34,'detailed-financials'!O26,'detailed-financials'!O28,-'detailed-financials'!O12)*(12/'detailed-financials'!O$7)</f>
        <v>0.21709930024263507</v>
      </c>
      <c r="P39" s="46">
        <f>'detailed-financials'!P$57*(1-P$31)/SUM('detailed-financials'!P34,'detailed-financials'!P26,'detailed-financials'!P28,-'detailed-financials'!P12)*(12/'detailed-financials'!P$7)</f>
        <v>0.1447601276554783</v>
      </c>
      <c r="Q39" s="61">
        <f>'detailed-financials'!Q$57*(1-Q$31)/SUM('detailed-financials'!Q34,'detailed-financials'!Q26,'detailed-financials'!Q28,-'detailed-financials'!Q12)*(12/'detailed-financials'!Q$7)</f>
        <v>0.15643809048632668</v>
      </c>
      <c r="R39" s="61">
        <f>'detailed-financials'!R$57*(1-R$31)/SUM('detailed-financials'!R34,'detailed-financials'!R26,'detailed-financials'!R28,-'detailed-financials'!R12)*(12/'detailed-financials'!R$7)</f>
        <v>0.10168120476953373</v>
      </c>
      <c r="S39" s="61">
        <f>'detailed-financials'!S$57*(1-S$31)/SUM('detailed-financials'!S34,'detailed-financials'!S26,'detailed-financials'!S28,-'detailed-financials'!S12)*(12/'detailed-financials'!S$7)</f>
        <v>0.14934038810657865</v>
      </c>
      <c r="T39" s="61">
        <f>'detailed-financials'!T$57*(1-T$31)/SUM('detailed-financials'!T34,'detailed-financials'!T26,'detailed-financials'!T28,-'detailed-financials'!T12)*(12/'detailed-financials'!T$7)</f>
        <v>0.17280948964257098</v>
      </c>
      <c r="U39" s="61">
        <f>'detailed-financials'!U$57*(1-U$31)/SUM('detailed-financials'!U34,'detailed-financials'!U26,'detailed-financials'!U28,-'detailed-financials'!U12)*(12/'detailed-financials'!U$7)</f>
        <v>0.20275053927574205</v>
      </c>
      <c r="V39" s="61">
        <f>'detailed-financials'!V$57*(1-V$31)/SUM('detailed-financials'!V34,'detailed-financials'!V26,'detailed-financials'!V28,-'detailed-financials'!V12)*(12/'detailed-financials'!V$7)</f>
        <v>0.21495955545900661</v>
      </c>
      <c r="W39" s="61">
        <f>'detailed-financials'!W$57*(1-W$31)/SUM('detailed-financials'!W34,'detailed-financials'!W26,'detailed-financials'!W28,-'detailed-financials'!W12)*(12/'detailed-financials'!W$7)</f>
        <v>0.19171332499239241</v>
      </c>
    </row>
    <row r="40" spans="2:23" x14ac:dyDescent="0.3">
      <c r="B40" s="38"/>
    </row>
    <row r="41" spans="2:23" x14ac:dyDescent="0.3">
      <c r="B41" s="2" t="s">
        <v>135</v>
      </c>
      <c r="C41" s="3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  <c r="R41" s="5"/>
      <c r="S41" s="5"/>
      <c r="T41" s="5"/>
      <c r="U41" s="5"/>
      <c r="V41" s="5"/>
      <c r="W41" s="5"/>
    </row>
    <row r="42" spans="2:23" x14ac:dyDescent="0.3">
      <c r="B42" s="38"/>
    </row>
    <row r="43" spans="2:23" x14ac:dyDescent="0.3">
      <c r="B43" s="38" t="s">
        <v>32</v>
      </c>
      <c r="C43" s="38"/>
      <c r="D43" s="38"/>
      <c r="E43" s="89">
        <f>'detailed-financials'!E50</f>
        <v>25.3</v>
      </c>
      <c r="F43" s="89">
        <f>'detailed-financials'!F50</f>
        <v>36.1</v>
      </c>
      <c r="G43" s="89">
        <f>'detailed-financials'!G50</f>
        <v>41</v>
      </c>
      <c r="H43" s="89">
        <f>'detailed-financials'!H50</f>
        <v>48</v>
      </c>
      <c r="I43" s="89">
        <f>'detailed-financials'!I50</f>
        <v>54.3</v>
      </c>
      <c r="J43" s="89">
        <f>'detailed-financials'!J50</f>
        <v>66.099999999999994</v>
      </c>
      <c r="K43" s="89">
        <f>'detailed-financials'!K50</f>
        <v>75.099999999999994</v>
      </c>
      <c r="L43" s="89">
        <f>'detailed-financials'!L50</f>
        <v>84.7</v>
      </c>
      <c r="M43" s="89">
        <f>'detailed-financials'!M50</f>
        <v>130.1</v>
      </c>
      <c r="N43" s="89">
        <f>'detailed-financials'!N50</f>
        <v>173.9</v>
      </c>
      <c r="O43" s="89">
        <f>'detailed-financials'!O50</f>
        <v>183.7</v>
      </c>
      <c r="P43" s="89">
        <f>'detailed-financials'!P50</f>
        <v>86.2</v>
      </c>
      <c r="Q43" s="90">
        <f>'detailed-financials'!Q50</f>
        <v>172.4</v>
      </c>
      <c r="R43" s="90">
        <f>'detailed-financials'!R50</f>
        <v>154.5613053626106</v>
      </c>
      <c r="S43" s="90">
        <f>'detailed-financials'!S50</f>
        <v>173.10866200612389</v>
      </c>
      <c r="T43" s="90">
        <f>'detailed-financials'!T50</f>
        <v>190.41952820673629</v>
      </c>
      <c r="U43" s="90">
        <f>'detailed-financials'!U50</f>
        <v>205.65309046327519</v>
      </c>
      <c r="V43" s="90">
        <f>'detailed-financials'!V50</f>
        <v>217.99227589107173</v>
      </c>
      <c r="W43" s="90">
        <f>'detailed-financials'!W50</f>
        <v>226.71196692671461</v>
      </c>
    </row>
    <row r="44" spans="2:23" x14ac:dyDescent="0.3">
      <c r="B44" s="44" t="s">
        <v>306</v>
      </c>
      <c r="C44" s="44"/>
      <c r="D44" s="44"/>
      <c r="E44" s="77"/>
      <c r="F44" s="77">
        <f>F43/E43-1</f>
        <v>0.4268774703557312</v>
      </c>
      <c r="G44" s="77">
        <f t="shared" ref="G44:T44" si="13">G43/F43-1</f>
        <v>0.1357340720221607</v>
      </c>
      <c r="H44" s="77">
        <f t="shared" si="13"/>
        <v>0.1707317073170731</v>
      </c>
      <c r="I44" s="77">
        <f t="shared" si="13"/>
        <v>0.13124999999999987</v>
      </c>
      <c r="J44" s="77">
        <f t="shared" si="13"/>
        <v>0.21731123388581941</v>
      </c>
      <c r="K44" s="77">
        <f t="shared" si="13"/>
        <v>0.13615733736762481</v>
      </c>
      <c r="L44" s="77">
        <f t="shared" si="13"/>
        <v>0.12782956058588568</v>
      </c>
      <c r="M44" s="77">
        <f t="shared" ref="M44" si="14">M43/L43-1</f>
        <v>0.53600944510035409</v>
      </c>
      <c r="N44" s="77">
        <f t="shared" ref="N44" si="15">N43/M43-1</f>
        <v>0.3366641045349732</v>
      </c>
      <c r="O44" s="77">
        <f t="shared" ref="O44" si="16">O43/N43-1</f>
        <v>5.6354226566992516E-2</v>
      </c>
      <c r="P44" s="77">
        <f>P43/O43*2-1</f>
        <v>-6.1513336962438658E-2</v>
      </c>
      <c r="Q44" s="78">
        <f>Q43/O43-1</f>
        <v>-6.1513336962438658E-2</v>
      </c>
      <c r="R44" s="78">
        <f t="shared" si="13"/>
        <v>-0.10347270671339559</v>
      </c>
      <c r="S44" s="78">
        <f t="shared" si="13"/>
        <v>0.12000000000000011</v>
      </c>
      <c r="T44" s="78">
        <f t="shared" si="13"/>
        <v>0.10000000000000009</v>
      </c>
      <c r="U44" s="78">
        <f t="shared" ref="U44" si="17">U43/T43-1</f>
        <v>8.0000000000000071E-2</v>
      </c>
      <c r="V44" s="78">
        <f t="shared" ref="V44" si="18">V43/U43-1</f>
        <v>6.0000000000000053E-2</v>
      </c>
      <c r="W44" s="78">
        <f t="shared" ref="W44" si="19">W43/V43-1</f>
        <v>4.0000000000000036E-2</v>
      </c>
    </row>
    <row r="45" spans="2:23" x14ac:dyDescent="0.3">
      <c r="B45" s="79" t="s">
        <v>34</v>
      </c>
      <c r="C45" s="79"/>
      <c r="D45" s="79"/>
      <c r="E45" s="91">
        <f>'detailed-financials'!E52</f>
        <v>9.7000000000000011</v>
      </c>
      <c r="F45" s="91">
        <f>'detailed-financials'!F52</f>
        <v>14.3</v>
      </c>
      <c r="G45" s="91">
        <f>'detailed-financials'!G52</f>
        <v>15.899999999999999</v>
      </c>
      <c r="H45" s="91">
        <f>'detailed-financials'!H52</f>
        <v>18.600000000000001</v>
      </c>
      <c r="I45" s="91">
        <f>'detailed-financials'!I52</f>
        <v>20.9</v>
      </c>
      <c r="J45" s="91">
        <f>'detailed-financials'!J52</f>
        <v>26.399999999999991</v>
      </c>
      <c r="K45" s="91">
        <f>'detailed-financials'!K52</f>
        <v>31.699999999999996</v>
      </c>
      <c r="L45" s="91">
        <f>'detailed-financials'!L52</f>
        <v>35.800000000000004</v>
      </c>
      <c r="M45" s="91">
        <f>'detailed-financials'!M52</f>
        <v>59.899999999999991</v>
      </c>
      <c r="N45" s="91">
        <f>'detailed-financials'!N52</f>
        <v>84.100000000000009</v>
      </c>
      <c r="O45" s="91">
        <f>'detailed-financials'!O52</f>
        <v>83.199999999999989</v>
      </c>
      <c r="P45" s="91">
        <f>'detailed-financials'!P52</f>
        <v>40.6</v>
      </c>
      <c r="Q45" s="92">
        <f>'detailed-financials'!Q52</f>
        <v>81.2</v>
      </c>
      <c r="R45" s="92">
        <f>'detailed-financials'!R52</f>
        <v>71.304043980118507</v>
      </c>
      <c r="S45" s="92">
        <f>'detailed-financials'!S52</f>
        <v>79.86052925773275</v>
      </c>
      <c r="T45" s="92">
        <f>'detailed-financials'!T52</f>
        <v>86.006008390289395</v>
      </c>
      <c r="U45" s="92">
        <f>'detailed-financials'!U52</f>
        <v>92.886489061512535</v>
      </c>
      <c r="V45" s="92">
        <f>'detailed-financials'!V52</f>
        <v>96.352589526728877</v>
      </c>
      <c r="W45" s="92">
        <f>'detailed-financials'!W52</f>
        <v>95.823948240571241</v>
      </c>
    </row>
    <row r="46" spans="2:23" x14ac:dyDescent="0.3">
      <c r="B46" s="45" t="s">
        <v>305</v>
      </c>
      <c r="C46" s="45"/>
      <c r="D46" s="45"/>
      <c r="E46" s="77">
        <f t="shared" ref="E46:L46" si="20">E45/E$43</f>
        <v>0.38339920948616601</v>
      </c>
      <c r="F46" s="77">
        <f t="shared" si="20"/>
        <v>0.39612188365650969</v>
      </c>
      <c r="G46" s="77">
        <f t="shared" si="20"/>
        <v>0.38780487804878044</v>
      </c>
      <c r="H46" s="77">
        <f t="shared" si="20"/>
        <v>0.38750000000000001</v>
      </c>
      <c r="I46" s="77">
        <f t="shared" si="20"/>
        <v>0.38489871086556171</v>
      </c>
      <c r="J46" s="77">
        <f t="shared" si="20"/>
        <v>0.39939485627836602</v>
      </c>
      <c r="K46" s="77">
        <f t="shared" si="20"/>
        <v>0.42210386151797602</v>
      </c>
      <c r="L46" s="77">
        <f t="shared" si="20"/>
        <v>0.42266824085005905</v>
      </c>
      <c r="M46" s="77">
        <f t="shared" ref="M46:O46" si="21">M45/M$43</f>
        <v>0.46041506533435816</v>
      </c>
      <c r="N46" s="77">
        <f t="shared" si="21"/>
        <v>0.48361127084531341</v>
      </c>
      <c r="O46" s="77">
        <f t="shared" si="21"/>
        <v>0.45291235710397382</v>
      </c>
      <c r="P46" s="77">
        <f t="shared" ref="P46" si="22">P45/P$43</f>
        <v>0.47099767981438517</v>
      </c>
      <c r="Q46" s="78">
        <f t="shared" ref="Q46:Q48" si="23">Q45/Q$43</f>
        <v>0.47099767981438517</v>
      </c>
      <c r="R46" s="78">
        <f t="shared" ref="R46:R48" si="24">R45/R$43</f>
        <v>0.46133179202151997</v>
      </c>
      <c r="S46" s="78">
        <f t="shared" ref="S46:S48" si="25">S45/S$43</f>
        <v>0.46133179202152003</v>
      </c>
      <c r="T46" s="78">
        <f t="shared" ref="T46:W48" si="26">T45/T$43</f>
        <v>0.45166590422865488</v>
      </c>
      <c r="U46" s="78">
        <f t="shared" si="26"/>
        <v>0.45166590422865482</v>
      </c>
      <c r="V46" s="78">
        <f t="shared" si="26"/>
        <v>0.44200001643578957</v>
      </c>
      <c r="W46" s="78">
        <f t="shared" si="26"/>
        <v>0.42266824085005911</v>
      </c>
    </row>
    <row r="47" spans="2:23" x14ac:dyDescent="0.3">
      <c r="B47" s="79" t="s">
        <v>36</v>
      </c>
      <c r="C47" s="79"/>
      <c r="D47" s="79"/>
      <c r="E47" s="91">
        <f>'detailed-financials'!E55</f>
        <v>4.4000000000000004</v>
      </c>
      <c r="F47" s="91">
        <f>'detailed-financials'!F55</f>
        <v>7</v>
      </c>
      <c r="G47" s="91">
        <f>'detailed-financials'!G55</f>
        <v>7.6</v>
      </c>
      <c r="H47" s="91">
        <f>'detailed-financials'!H55</f>
        <v>8.6</v>
      </c>
      <c r="I47" s="91">
        <f>'detailed-financials'!I55</f>
        <v>9.6999999999999993</v>
      </c>
      <c r="J47" s="91">
        <f>'detailed-financials'!J55</f>
        <v>13.1</v>
      </c>
      <c r="K47" s="91">
        <f>'detailed-financials'!K55</f>
        <v>15.5</v>
      </c>
      <c r="L47" s="91">
        <f>'detailed-financials'!L55</f>
        <v>16.399999999999999</v>
      </c>
      <c r="M47" s="91">
        <f>'detailed-financials'!M55</f>
        <v>16.100000000000001</v>
      </c>
      <c r="N47" s="91">
        <f>'detailed-financials'!N55</f>
        <v>45.9</v>
      </c>
      <c r="O47" s="91">
        <f>'detailed-financials'!O55</f>
        <v>40.799999999999997</v>
      </c>
      <c r="P47" s="91">
        <f>'detailed-financials'!P55</f>
        <v>16.899999999999999</v>
      </c>
      <c r="Q47" s="92">
        <f>'detailed-financials'!Q55</f>
        <v>33.799999999999997</v>
      </c>
      <c r="R47" s="92">
        <f>'detailed-financials'!R55</f>
        <v>23.904043980118502</v>
      </c>
      <c r="S47" s="92">
        <f>'detailed-financials'!S55</f>
        <v>31.390103896018054</v>
      </c>
      <c r="T47" s="92">
        <f>'detailed-financials'!T55</f>
        <v>36.49693105653796</v>
      </c>
      <c r="U47" s="92">
        <f>'detailed-financials'!U55</f>
        <v>43.529747350326488</v>
      </c>
      <c r="V47" s="92">
        <f>'detailed-financials'!V55</f>
        <v>48.3942888306931</v>
      </c>
      <c r="W47" s="92">
        <f>'detailed-financials'!W55</f>
        <v>45.947315516694026</v>
      </c>
    </row>
    <row r="48" spans="2:23" x14ac:dyDescent="0.3">
      <c r="B48" s="45" t="s">
        <v>114</v>
      </c>
      <c r="C48" s="45"/>
      <c r="D48" s="45"/>
      <c r="E48" s="77">
        <f t="shared" ref="E48:L48" si="27">E47/E$43</f>
        <v>0.17391304347826089</v>
      </c>
      <c r="F48" s="77">
        <f t="shared" si="27"/>
        <v>0.19390581717451522</v>
      </c>
      <c r="G48" s="77">
        <f t="shared" si="27"/>
        <v>0.18536585365853658</v>
      </c>
      <c r="H48" s="77">
        <f t="shared" si="27"/>
        <v>0.17916666666666667</v>
      </c>
      <c r="I48" s="77">
        <f t="shared" si="27"/>
        <v>0.17863720073664824</v>
      </c>
      <c r="J48" s="77">
        <f t="shared" si="27"/>
        <v>0.19818456883509836</v>
      </c>
      <c r="K48" s="77">
        <f t="shared" si="27"/>
        <v>0.20639147802929428</v>
      </c>
      <c r="L48" s="77">
        <f t="shared" si="27"/>
        <v>0.19362455726092087</v>
      </c>
      <c r="M48" s="77">
        <f t="shared" ref="M48:O48" si="28">M47/M$43</f>
        <v>0.12375096079938511</v>
      </c>
      <c r="N48" s="77">
        <f t="shared" si="28"/>
        <v>0.26394479585968944</v>
      </c>
      <c r="O48" s="77">
        <f t="shared" si="28"/>
        <v>0.22210125204137179</v>
      </c>
      <c r="P48" s="77">
        <f t="shared" ref="P48" si="29">P47/P$43</f>
        <v>0.19605568445475635</v>
      </c>
      <c r="Q48" s="78">
        <f t="shared" si="23"/>
        <v>0.19605568445475635</v>
      </c>
      <c r="R48" s="78">
        <f t="shared" si="24"/>
        <v>0.1546573634587137</v>
      </c>
      <c r="S48" s="78">
        <f t="shared" si="25"/>
        <v>0.18133179202151997</v>
      </c>
      <c r="T48" s="78">
        <f t="shared" si="26"/>
        <v>0.19166590422865487</v>
      </c>
      <c r="U48" s="78">
        <f t="shared" si="26"/>
        <v>0.21166590422865481</v>
      </c>
      <c r="V48" s="78">
        <f t="shared" si="26"/>
        <v>0.22200001643578957</v>
      </c>
      <c r="W48" s="78">
        <f t="shared" si="26"/>
        <v>0.20266824085005908</v>
      </c>
    </row>
    <row r="49" spans="2:23" x14ac:dyDescent="0.3">
      <c r="B49" s="38" t="s">
        <v>38</v>
      </c>
      <c r="C49" s="38"/>
      <c r="D49" s="38"/>
      <c r="E49" s="93">
        <f>'detailed-financials'!E57</f>
        <v>3</v>
      </c>
      <c r="F49" s="93">
        <f>'detailed-financials'!F57</f>
        <v>5.2</v>
      </c>
      <c r="G49" s="93">
        <f>'detailed-financials'!G57</f>
        <v>5.7</v>
      </c>
      <c r="H49" s="93">
        <f>'detailed-financials'!H57</f>
        <v>6.3</v>
      </c>
      <c r="I49" s="93">
        <f>'detailed-financials'!I57</f>
        <v>7.1</v>
      </c>
      <c r="J49" s="93">
        <f>'detailed-financials'!J57</f>
        <v>9.5</v>
      </c>
      <c r="K49" s="93">
        <f>'detailed-financials'!K57</f>
        <v>11.9</v>
      </c>
      <c r="L49" s="93">
        <f>'detailed-financials'!L57</f>
        <v>12.8</v>
      </c>
      <c r="M49" s="93">
        <f>'detailed-financials'!M57</f>
        <v>7.5</v>
      </c>
      <c r="N49" s="93">
        <f>'detailed-financials'!N57</f>
        <v>35.799999999999997</v>
      </c>
      <c r="O49" s="93">
        <f>'detailed-financials'!O57</f>
        <v>31.099999999999998</v>
      </c>
      <c r="P49" s="93">
        <f>'detailed-financials'!P57</f>
        <v>11.5</v>
      </c>
      <c r="Q49" s="94">
        <f>'detailed-financials'!Q57</f>
        <v>22.125925925925927</v>
      </c>
      <c r="R49" s="94">
        <f>'detailed-financials'!R57</f>
        <v>13.232050137348313</v>
      </c>
      <c r="S49" s="94">
        <f>'detailed-financials'!S57</f>
        <v>20.86337000195212</v>
      </c>
      <c r="T49" s="94">
        <f>'detailed-financials'!T57</f>
        <v>25.921643977637583</v>
      </c>
      <c r="U49" s="94">
        <f>'detailed-financials'!U57</f>
        <v>32.75229321928272</v>
      </c>
      <c r="V49" s="94">
        <f>'detailed-financials'!V57</f>
        <v>37.303108221976146</v>
      </c>
      <c r="W49" s="94">
        <f>'detailed-financials'!W57</f>
        <v>34.474263246059884</v>
      </c>
    </row>
    <row r="50" spans="2:23" x14ac:dyDescent="0.3">
      <c r="B50" s="45" t="s">
        <v>116</v>
      </c>
      <c r="C50" s="45"/>
      <c r="D50" s="45"/>
      <c r="E50" s="77">
        <f t="shared" ref="E50:L50" si="30">E49/E$43</f>
        <v>0.11857707509881422</v>
      </c>
      <c r="F50" s="77">
        <f t="shared" si="30"/>
        <v>0.1440443213296399</v>
      </c>
      <c r="G50" s="77">
        <f t="shared" si="30"/>
        <v>0.13902439024390245</v>
      </c>
      <c r="H50" s="77">
        <f t="shared" si="30"/>
        <v>0.13125000000000001</v>
      </c>
      <c r="I50" s="77">
        <f t="shared" si="30"/>
        <v>0.13075506445672191</v>
      </c>
      <c r="J50" s="77">
        <f t="shared" si="30"/>
        <v>0.14372163388804843</v>
      </c>
      <c r="K50" s="77">
        <f t="shared" si="30"/>
        <v>0.15845539280958723</v>
      </c>
      <c r="L50" s="77">
        <f t="shared" si="30"/>
        <v>0.1511216056670602</v>
      </c>
      <c r="M50" s="77">
        <f t="shared" ref="M50:O50" si="31">M49/M$43</f>
        <v>5.7647963105303617E-2</v>
      </c>
      <c r="N50" s="77">
        <f t="shared" si="31"/>
        <v>0.20586543990799308</v>
      </c>
      <c r="O50" s="77">
        <f t="shared" si="31"/>
        <v>0.16929776810016331</v>
      </c>
      <c r="P50" s="77">
        <f t="shared" ref="P50" si="32">P49/P$43</f>
        <v>0.13341067285382829</v>
      </c>
      <c r="Q50" s="78">
        <f t="shared" ref="Q50" si="33">Q49/Q$43</f>
        <v>0.12834063762138009</v>
      </c>
      <c r="R50" s="78">
        <f t="shared" ref="R50" si="34">R49/R$43</f>
        <v>8.561036739632269E-2</v>
      </c>
      <c r="S50" s="78">
        <f t="shared" ref="S50" si="35">S49/S$43</f>
        <v>0.12052181421871343</v>
      </c>
      <c r="T50" s="78">
        <f t="shared" ref="T50:W50" si="36">T49/T$43</f>
        <v>0.13612912615503781</v>
      </c>
      <c r="U50" s="78">
        <f t="shared" si="36"/>
        <v>0.15925991263005848</v>
      </c>
      <c r="V50" s="78">
        <f t="shared" si="36"/>
        <v>0.1711212384452378</v>
      </c>
      <c r="W50" s="78">
        <f t="shared" si="36"/>
        <v>0.1520619476483295</v>
      </c>
    </row>
    <row r="51" spans="2:23" x14ac:dyDescent="0.3">
      <c r="B51" s="38" t="s">
        <v>41</v>
      </c>
      <c r="C51" s="38"/>
      <c r="D51" s="38"/>
      <c r="E51" s="93">
        <f>'detailed-financials'!E61</f>
        <v>2.7</v>
      </c>
      <c r="F51" s="93">
        <f>'detailed-financials'!F61</f>
        <v>4.6000000000000005</v>
      </c>
      <c r="G51" s="93">
        <f>'detailed-financials'!G61</f>
        <v>5</v>
      </c>
      <c r="H51" s="93">
        <f>'detailed-financials'!H61</f>
        <v>5.3</v>
      </c>
      <c r="I51" s="93">
        <f>'detailed-financials'!I61</f>
        <v>6.1</v>
      </c>
      <c r="J51" s="93">
        <f>'detailed-financials'!J61</f>
        <v>8.5</v>
      </c>
      <c r="K51" s="93">
        <f>'detailed-financials'!K61</f>
        <v>10.700000000000001</v>
      </c>
      <c r="L51" s="93">
        <f>'detailed-financials'!L61</f>
        <v>11.6</v>
      </c>
      <c r="M51" s="93">
        <f>'detailed-financials'!M61</f>
        <v>4.0999999999999996</v>
      </c>
      <c r="N51" s="93">
        <f>'detailed-financials'!N61</f>
        <v>28.599999999999998</v>
      </c>
      <c r="O51" s="93">
        <f>'detailed-financials'!O61</f>
        <v>24.799999999999997</v>
      </c>
      <c r="P51" s="93">
        <f>'detailed-financials'!P61</f>
        <v>8.5</v>
      </c>
      <c r="Q51" s="94">
        <f>'detailed-financials'!Q61</f>
        <v>15.214921581621384</v>
      </c>
      <c r="R51" s="94">
        <f>'detailed-financials'!R61</f>
        <v>8.9649918773651116</v>
      </c>
      <c r="S51" s="94">
        <f>'detailed-financials'!S61</f>
        <v>14.688481775817968</v>
      </c>
      <c r="T51" s="94">
        <f>'detailed-financials'!T61</f>
        <v>18.482187257582066</v>
      </c>
      <c r="U51" s="94">
        <f>'detailed-financials'!U61</f>
        <v>23.605174188815916</v>
      </c>
      <c r="V51" s="94">
        <f>'detailed-financials'!V61</f>
        <v>27.018285440835989</v>
      </c>
      <c r="W51" s="94">
        <f>'detailed-financials'!W61</f>
        <v>24.896651708898791</v>
      </c>
    </row>
    <row r="52" spans="2:23" x14ac:dyDescent="0.3">
      <c r="B52" s="21" t="s">
        <v>113</v>
      </c>
      <c r="C52" s="21"/>
      <c r="D52" s="21"/>
      <c r="E52" s="77">
        <f t="shared" ref="E52:L52" si="37">E51/E$43</f>
        <v>0.10671936758893281</v>
      </c>
      <c r="F52" s="77">
        <f t="shared" si="37"/>
        <v>0.12742382271468145</v>
      </c>
      <c r="G52" s="77">
        <f t="shared" si="37"/>
        <v>0.12195121951219512</v>
      </c>
      <c r="H52" s="77">
        <f t="shared" si="37"/>
        <v>0.11041666666666666</v>
      </c>
      <c r="I52" s="77">
        <f t="shared" si="37"/>
        <v>0.11233885819521179</v>
      </c>
      <c r="J52" s="77">
        <f t="shared" si="37"/>
        <v>0.12859304084720122</v>
      </c>
      <c r="K52" s="77">
        <f t="shared" si="37"/>
        <v>0.14247669773635155</v>
      </c>
      <c r="L52" s="77">
        <f t="shared" si="37"/>
        <v>0.1369539551357733</v>
      </c>
      <c r="M52" s="77">
        <f t="shared" ref="M52:O52" si="38">M51/M$43</f>
        <v>3.1514219830899304E-2</v>
      </c>
      <c r="N52" s="77">
        <f t="shared" si="38"/>
        <v>0.1644623346751006</v>
      </c>
      <c r="O52" s="77">
        <f t="shared" si="38"/>
        <v>0.13500272182906914</v>
      </c>
      <c r="P52" s="77">
        <f t="shared" ref="P52" si="39">P51/P$43</f>
        <v>9.860788863109049E-2</v>
      </c>
      <c r="Q52" s="78">
        <f t="shared" ref="Q52" si="40">Q51/Q$43</f>
        <v>8.8253605461840967E-2</v>
      </c>
      <c r="R52" s="78">
        <f t="shared" ref="R52" si="41">R51/R$43</f>
        <v>5.8002821963315292E-2</v>
      </c>
      <c r="S52" s="78">
        <f t="shared" ref="S52" si="42">S51/S$43</f>
        <v>8.4851223535529069E-2</v>
      </c>
      <c r="T52" s="78">
        <f t="shared" ref="T52:W52" si="43">T51/T$43</f>
        <v>9.7060356317636542E-2</v>
      </c>
      <c r="U52" s="78">
        <f t="shared" si="43"/>
        <v>0.11478151938120884</v>
      </c>
      <c r="V52" s="78">
        <f t="shared" si="43"/>
        <v>0.12394148063455569</v>
      </c>
      <c r="W52" s="78">
        <f t="shared" si="43"/>
        <v>0.10981622208300418</v>
      </c>
    </row>
    <row r="53" spans="2:23" x14ac:dyDescent="0.3">
      <c r="B53" s="38"/>
    </row>
    <row r="54" spans="2:23" x14ac:dyDescent="0.3">
      <c r="B54" s="47" t="s">
        <v>285</v>
      </c>
      <c r="C54" s="47"/>
      <c r="D54" s="47"/>
      <c r="E54" s="50">
        <f>'detailed-financials'!E66</f>
        <v>4.6471600688468158</v>
      </c>
      <c r="F54" s="50">
        <f>'detailed-financials'!F66</f>
        <v>7.9173838209982792</v>
      </c>
      <c r="G54" s="50">
        <f>'detailed-financials'!G66</f>
        <v>8.6058519793459549</v>
      </c>
      <c r="H54" s="50">
        <f>'detailed-financials'!H66</f>
        <v>9.0136054421768712</v>
      </c>
      <c r="I54" s="50">
        <f>'detailed-financials'!I66</f>
        <v>10.427350427350426</v>
      </c>
      <c r="J54" s="50">
        <f>'detailed-financials'!J66</f>
        <v>14.705882352941178</v>
      </c>
      <c r="K54" s="50">
        <f>'detailed-financials'!K66</f>
        <v>18.448275862068968</v>
      </c>
      <c r="L54" s="50">
        <f>'detailed-financials'!L66</f>
        <v>20</v>
      </c>
      <c r="M54" s="50">
        <f>'detailed-financials'!M66</f>
        <v>7.0085470085470085</v>
      </c>
      <c r="N54" s="50">
        <f>'detailed-financials'!N66</f>
        <v>48.722316865417369</v>
      </c>
      <c r="O54" s="50">
        <f>'detailed-financials'!O66</f>
        <v>42.105263157894733</v>
      </c>
      <c r="P54" s="50">
        <f>'detailed-financials'!P66</f>
        <v>14.431239388794568</v>
      </c>
      <c r="Q54" s="51">
        <f>'detailed-financials'!Q66</f>
        <v>26.232623416588595</v>
      </c>
      <c r="R54" s="51">
        <f>'detailed-financials'!R66</f>
        <v>15.456882547181227</v>
      </c>
      <c r="S54" s="51">
        <f>'detailed-financials'!S66</f>
        <v>25.324968578996497</v>
      </c>
      <c r="T54" s="51">
        <f>'detailed-financials'!T66</f>
        <v>31.865840099279424</v>
      </c>
      <c r="U54" s="51">
        <f>'detailed-financials'!U66</f>
        <v>40.698576187613646</v>
      </c>
      <c r="V54" s="51">
        <f>'detailed-financials'!V66</f>
        <v>46.58325076006205</v>
      </c>
      <c r="W54" s="51">
        <f>'detailed-financials'!W66</f>
        <v>42.925261567066883</v>
      </c>
    </row>
    <row r="55" spans="2:23" x14ac:dyDescent="0.3">
      <c r="B55" s="47" t="s">
        <v>115</v>
      </c>
      <c r="C55" s="47"/>
      <c r="D55" s="47"/>
      <c r="E55" s="48">
        <f>$D$12/E54</f>
        <v>116.2</v>
      </c>
      <c r="F55" s="48">
        <f t="shared" ref="F55:T55" si="44">$D$12/F54</f>
        <v>68.204347826086959</v>
      </c>
      <c r="G55" s="48">
        <f t="shared" si="44"/>
        <v>62.748000000000005</v>
      </c>
      <c r="H55" s="48">
        <f t="shared" si="44"/>
        <v>59.909433962264146</v>
      </c>
      <c r="I55" s="48">
        <f t="shared" si="44"/>
        <v>51.786885245901644</v>
      </c>
      <c r="J55" s="48">
        <f t="shared" si="44"/>
        <v>36.72</v>
      </c>
      <c r="K55" s="48">
        <f t="shared" si="44"/>
        <v>29.271028037383175</v>
      </c>
      <c r="L55" s="48">
        <f t="shared" si="44"/>
        <v>27</v>
      </c>
      <c r="M55" s="48">
        <f t="shared" ref="M55:O55" si="45">$D$12/M54</f>
        <v>77.048780487804876</v>
      </c>
      <c r="N55" s="48">
        <f t="shared" si="45"/>
        <v>11.083216783216784</v>
      </c>
      <c r="O55" s="48">
        <f t="shared" si="45"/>
        <v>12.825000000000001</v>
      </c>
      <c r="P55" s="48">
        <f t="shared" ref="P55" si="46">$D$12/P54</f>
        <v>37.41882352941176</v>
      </c>
      <c r="Q55" s="49">
        <f t="shared" si="44"/>
        <v>20.585055159161964</v>
      </c>
      <c r="R55" s="49">
        <f t="shared" si="44"/>
        <v>34.93589333759131</v>
      </c>
      <c r="S55" s="49">
        <f t="shared" si="44"/>
        <v>21.32283000926817</v>
      </c>
      <c r="T55" s="49">
        <f t="shared" si="44"/>
        <v>16.946046246312864</v>
      </c>
      <c r="U55" s="49">
        <f t="shared" ref="U55:W55" si="47">$D$12/U54</f>
        <v>13.268277433360078</v>
      </c>
      <c r="V55" s="49">
        <f t="shared" si="47"/>
        <v>11.592149349589116</v>
      </c>
      <c r="W55" s="49">
        <f t="shared" si="47"/>
        <v>12.580004880256777</v>
      </c>
    </row>
    <row r="57" spans="2:23" x14ac:dyDescent="0.3">
      <c r="B57" s="47" t="s">
        <v>117</v>
      </c>
      <c r="C57" s="47"/>
      <c r="D57" s="47"/>
      <c r="E57" s="48">
        <f>SUM($D$12*$D$13/10^8,-SUM($L$10:$L$13))/E49*E20/12</f>
        <v>111.15933333333334</v>
      </c>
      <c r="F57" s="48">
        <f>SUM($D$12*$D$13/10^8,-SUM($L$10:$L$13))/F49*F20/12</f>
        <v>64.130384615384614</v>
      </c>
      <c r="G57" s="48">
        <f>SUM($D$12*$D$13/10^8,-SUM($L$10:$L$13))/G49*G20/12</f>
        <v>58.504912280701753</v>
      </c>
      <c r="H57" s="48">
        <f>SUM($D$12*$D$13/10^8,-SUM($L$10:$L$13))/H49*H20/12</f>
        <v>52.933015873015876</v>
      </c>
      <c r="I57" s="48">
        <f>SUM($D$12*$D$13/10^8,-SUM($L$10:$L$13))/I49*I20/12</f>
        <v>46.968732394366192</v>
      </c>
      <c r="J57" s="48">
        <f>SUM($D$12*$D$13/10^8,-SUM($L$10:$L$13))/J49*J20/12</f>
        <v>35.102947368421056</v>
      </c>
      <c r="K57" s="48">
        <f>SUM($D$12*$D$13/10^8,-SUM($L$10:$L$13))/K49*K20/12</f>
        <v>28.023361344537815</v>
      </c>
      <c r="L57" s="48">
        <f>SUM($D$12*$D$13/10^8,-SUM($L$10:$L$13))/L49*L20/12</f>
        <v>26.052968750000002</v>
      </c>
      <c r="M57" s="48">
        <f>SUM($D$12*$D$13/10^8,-SUM($L$10:$L$13))/M49*M20/12</f>
        <v>44.463733333333344</v>
      </c>
      <c r="N57" s="48">
        <f>SUM($D$12*$D$13/10^8,-SUM($L$10:$L$13))/N49*N20/12</f>
        <v>9.3150279329608949</v>
      </c>
      <c r="O57" s="48">
        <f>SUM($D$12*$D$13/10^8,-SUM($L$10:$L$13))/O49*O20/12</f>
        <v>10.722765273311898</v>
      </c>
      <c r="P57" s="48">
        <f>SUM($D$12*$D$13/10^8,-SUM($L$10:$L$13))/P49*P20/12</f>
        <v>14.499043478260868</v>
      </c>
      <c r="Q57" s="49">
        <f>SUM($D$12*$D$13/10^8,-SUM($L$10:$L$13))/Q49*Q20/12</f>
        <v>15.071821225309675</v>
      </c>
      <c r="R57" s="49">
        <f>SUM($D$12*$D$13/10^8,-SUM($L$10:$L$13))/R49*R20/12</f>
        <v>25.202292655976027</v>
      </c>
      <c r="S57" s="49">
        <f>SUM($D$12*$D$13/10^8,-SUM($L$10:$L$13))/S49*S20/12</f>
        <v>15.983899052204775</v>
      </c>
      <c r="T57" s="49">
        <f>SUM($D$12*$D$13/10^8,-SUM($L$10:$L$13))/T49*T20/12</f>
        <v>12.864847626473425</v>
      </c>
      <c r="U57" s="49">
        <f>SUM($D$12*$D$13/10^8,-SUM($L$10:$L$13))/U49*U20/12</f>
        <v>10.181821400025413</v>
      </c>
      <c r="V57" s="49">
        <f>SUM($D$12*$D$13/10^8,-SUM($L$10:$L$13))/V49*V20/12</f>
        <v>8.9396840074452619</v>
      </c>
      <c r="W57" s="49">
        <f>SUM($D$12*$D$13/10^8,-SUM($L$10:$L$13))/W49*W20/12</f>
        <v>9.6732451574034357</v>
      </c>
    </row>
    <row r="58" spans="2:23" x14ac:dyDescent="0.3">
      <c r="B58" s="47" t="s">
        <v>118</v>
      </c>
      <c r="C58" s="47"/>
      <c r="D58" s="47"/>
      <c r="E58" s="48">
        <f ca="1">summary!$L$9/E49*E20/12</f>
        <v>103.41581490171687</v>
      </c>
      <c r="F58" s="48">
        <f ca="1">summary!$L$9/F49*F20/12</f>
        <v>59.662970135605882</v>
      </c>
      <c r="G58" s="48">
        <f ca="1">summary!$L$9/G49*G20/12</f>
        <v>54.42937626406151</v>
      </c>
      <c r="H58" s="48">
        <f ca="1">summary!$L$9/H49*H20/12</f>
        <v>49.245626143674691</v>
      </c>
      <c r="I58" s="48">
        <f ca="1">summary!$L$9/I49*I20/12</f>
        <v>43.696823197908536</v>
      </c>
      <c r="J58" s="48">
        <f ca="1">summary!$L$9/J49*J20/12</f>
        <v>32.657625758436907</v>
      </c>
      <c r="K58" s="48">
        <f ca="1">summary!$L$9/K49*K20/12</f>
        <v>26.071213840768959</v>
      </c>
      <c r="L58" s="48">
        <f ca="1">summary!$L$9/L49*L20/12</f>
        <v>24.238081617589888</v>
      </c>
      <c r="M58" s="48">
        <f ca="1">summary!$L$9/M49*M20/12</f>
        <v>41.366325960686744</v>
      </c>
      <c r="N58" s="48">
        <f ca="1">summary!$L$9/N49*N20/12</f>
        <v>8.6661297403673352</v>
      </c>
      <c r="O58" s="48">
        <f ca="1">summary!$L$9/O49*O20/12</f>
        <v>9.9758020805514676</v>
      </c>
      <c r="P58" s="48">
        <f ca="1">summary!$L$9/P49*P20/12</f>
        <v>13.489019335006548</v>
      </c>
      <c r="Q58" s="49">
        <f ca="1">summary!$L$9/Q49*Q20/12</f>
        <v>14.021896563506973</v>
      </c>
      <c r="R58" s="49">
        <f ca="1">summary!$L$9/R49*R20/12</f>
        <v>23.446664839143651</v>
      </c>
      <c r="S58" s="49">
        <f ca="1">summary!$L$9/S49*S20/12</f>
        <v>14.870437742134742</v>
      </c>
      <c r="T58" s="49">
        <f ca="1">summary!$L$9/T49*T20/12</f>
        <v>11.968663907767533</v>
      </c>
      <c r="U58" s="49">
        <f ca="1">summary!$L$9/U49*U20/12</f>
        <v>9.472541132554781</v>
      </c>
      <c r="V58" s="49">
        <f ca="1">summary!$L$9/V49*V20/12</f>
        <v>8.3169328105044205</v>
      </c>
      <c r="W58" s="49">
        <f ca="1">summary!$L$9/W49*W20/12</f>
        <v>8.9993930396934374</v>
      </c>
    </row>
    <row r="59" spans="2:23" x14ac:dyDescent="0.3">
      <c r="B59" s="47"/>
      <c r="C59" s="47"/>
      <c r="D59" s="47"/>
      <c r="E59" s="52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2:23" x14ac:dyDescent="0.3">
      <c r="B60" s="47" t="s">
        <v>308</v>
      </c>
      <c r="C60" s="47"/>
      <c r="D60" s="47"/>
      <c r="E60" s="50">
        <f>SUM('detailed-financials'!E78,'detailed-financials'!E85,-'detailed-financials'!E58)</f>
        <v>0.30000000000000004</v>
      </c>
      <c r="F60" s="50">
        <f>SUM('detailed-financials'!F78,'detailed-financials'!F85,-'detailed-financials'!F58)</f>
        <v>0.29999999999999982</v>
      </c>
      <c r="G60" s="50">
        <f>SUM('detailed-financials'!G78,'detailed-financials'!G85,-'detailed-financials'!G58)</f>
        <v>6.1000000000000014</v>
      </c>
      <c r="H60" s="50">
        <f>SUM('detailed-financials'!H78,'detailed-financials'!H85,-'detailed-financials'!H58)</f>
        <v>2.6</v>
      </c>
      <c r="I60" s="50">
        <f>SUM('detailed-financials'!I78,'detailed-financials'!I85,-'detailed-financials'!I58)</f>
        <v>0.29999999999999971</v>
      </c>
      <c r="J60" s="50">
        <f>SUM('detailed-financials'!J78,'detailed-financials'!J85,-'detailed-financials'!J58)</f>
        <v>9.5</v>
      </c>
      <c r="K60" s="50">
        <f>SUM('detailed-financials'!K78,'detailed-financials'!K85,-'detailed-financials'!K58)</f>
        <v>10</v>
      </c>
      <c r="L60" s="50">
        <f>SUM('detailed-financials'!L78,'detailed-financials'!L85,-'detailed-financials'!L58)</f>
        <v>-5.9999999999999982</v>
      </c>
      <c r="M60" s="50">
        <f>SUM('detailed-financials'!M78,'detailed-financials'!M85,-'detailed-financials'!M58)</f>
        <v>-7.7999999999999972</v>
      </c>
      <c r="N60" s="50">
        <f>SUM('detailed-financials'!N78,'detailed-financials'!N85,-'detailed-financials'!N58)</f>
        <v>18.299999999999997</v>
      </c>
      <c r="O60" s="50">
        <f>SUM('detailed-financials'!O78,'detailed-financials'!O85,-'detailed-financials'!O58)</f>
        <v>-13.600000000000001</v>
      </c>
      <c r="P60" s="50">
        <f>SUM('detailed-financials'!P78,'detailed-financials'!P85,-'detailed-financials'!P58)</f>
        <v>-9.6</v>
      </c>
      <c r="Q60" s="51">
        <f>SUM('detailed-financials'!Q78,'detailed-financials'!Q85,-'detailed-financials'!Q58)</f>
        <v>27.077533932010844</v>
      </c>
      <c r="R60" s="51">
        <f>SUM('detailed-financials'!R78,'detailed-financials'!R85,-'detailed-financials'!R58)</f>
        <v>18.720942869758218</v>
      </c>
      <c r="S60" s="51">
        <f>SUM('detailed-financials'!S78,'detailed-financials'!S85,-'detailed-financials'!S58)</f>
        <v>8.7891371663857729</v>
      </c>
      <c r="T60" s="51">
        <f>SUM('detailed-financials'!T78,'detailed-financials'!T85,-'detailed-financials'!T58)</f>
        <v>12.037558129583303</v>
      </c>
      <c r="U60" s="51">
        <f>SUM('detailed-financials'!U78,'detailed-financials'!U85,-'detailed-financials'!U58)</f>
        <v>16.229965824802616</v>
      </c>
      <c r="V60" s="51">
        <f>SUM('detailed-financials'!V78,'detailed-financials'!V85,-'detailed-financials'!V58)</f>
        <v>19.300301125204555</v>
      </c>
      <c r="W60" s="51">
        <f>SUM('detailed-financials'!W78,'detailed-financials'!W85,-'detailed-financials'!W58)</f>
        <v>21.460524624580067</v>
      </c>
    </row>
    <row r="61" spans="2:23" x14ac:dyDescent="0.3">
      <c r="B61" s="47" t="s">
        <v>307</v>
      </c>
      <c r="C61" s="47"/>
      <c r="D61" s="47"/>
      <c r="E61" s="48">
        <f>SUM($D$12*$D$13/10^8,-SUM($L$10:$L$13))/SUM('detailed-financials'!E78,'detailed-financials'!E85,-'detailed-financials'!E58)*E20/12</f>
        <v>1111.5933333333332</v>
      </c>
      <c r="F61" s="48">
        <f>SUM($D$12*$D$13/10^8,-SUM($L$10:$L$13))/SUM('detailed-financials'!F78,'detailed-financials'!F85,-'detailed-financials'!F58)*F20/12</f>
        <v>1111.5933333333339</v>
      </c>
      <c r="G61" s="48">
        <f>SUM($D$12*$D$13/10^8,-SUM($L$10:$L$13))/SUM('detailed-financials'!G78,'detailed-financials'!G85,-'detailed-financials'!G58)*G20/12</f>
        <v>54.668524590163919</v>
      </c>
      <c r="H61" s="48">
        <f>SUM($D$12*$D$13/10^8,-SUM($L$10:$L$13))/SUM('detailed-financials'!H78,'detailed-financials'!H85,-'detailed-financials'!H58)*H20/12</f>
        <v>128.26076923076923</v>
      </c>
      <c r="I61" s="48">
        <f>SUM($D$12*$D$13/10^8,-SUM($L$10:$L$13))/SUM('detailed-financials'!I78,'detailed-financials'!I85,-'detailed-financials'!I58)*I20/12</f>
        <v>1111.5933333333344</v>
      </c>
      <c r="J61" s="48">
        <f>SUM($D$12*$D$13/10^8,-SUM($L$10:$L$13))/SUM('detailed-financials'!J78,'detailed-financials'!J85,-'detailed-financials'!J58)*J20/12</f>
        <v>35.102947368421056</v>
      </c>
      <c r="K61" s="48">
        <f>SUM($D$12*$D$13/10^8,-SUM($L$10:$L$13))/SUM('detailed-financials'!K78,'detailed-financials'!K85,-'detailed-financials'!K58)*K20/12</f>
        <v>33.347799999999999</v>
      </c>
      <c r="L61" s="48">
        <f>SUM($D$12*$D$13/10^8,-SUM($L$10:$L$13))/SUM('detailed-financials'!L78,'detailed-financials'!L85,-'detailed-financials'!L58)*L20/12</f>
        <v>-55.579666666666675</v>
      </c>
      <c r="M61" s="48">
        <f>SUM($D$12*$D$13/10^8,-SUM($L$10:$L$13))/SUM('detailed-financials'!M78,'detailed-financials'!M85,-'detailed-financials'!M58)*M20/12</f>
        <v>-42.75358974358975</v>
      </c>
      <c r="N61" s="48">
        <f>SUM($D$12*$D$13/10^8,-SUM($L$10:$L$13))/SUM('detailed-financials'!N78,'detailed-financials'!N85,-'detailed-financials'!N58)*N20/12</f>
        <v>18.222841530054648</v>
      </c>
      <c r="O61" s="48">
        <f>SUM($D$12*$D$13/10^8,-SUM($L$10:$L$13))/SUM('detailed-financials'!O78,'detailed-financials'!O85,-'detailed-financials'!O58)*O20/12</f>
        <v>-24.520441176470587</v>
      </c>
      <c r="P61" s="48">
        <f>SUM($D$12*$D$13/10^8,-SUM($L$10:$L$13))/SUM('detailed-financials'!P78,'detailed-financials'!P85,-'detailed-financials'!P58)*P20/12</f>
        <v>-17.368645833333336</v>
      </c>
      <c r="Q61" s="49">
        <f>SUM($D$12*$D$13/10^8,-SUM($L$10:$L$13))/SUM('detailed-financials'!Q78,'detailed-financials'!Q85,-'detailed-financials'!Q58)*Q20/12</f>
        <v>12.31567102223312</v>
      </c>
      <c r="R61" s="49">
        <f>SUM($D$12*$D$13/10^8,-SUM($L$10:$L$13))/SUM('detailed-financials'!R78,'detailed-financials'!R85,-'detailed-financials'!R58)*R20/12</f>
        <v>17.813098534620273</v>
      </c>
      <c r="S61" s="49">
        <f>SUM($D$12*$D$13/10^8,-SUM($L$10:$L$13))/SUM('detailed-financials'!S78,'detailed-financials'!S85,-'detailed-financials'!S58)*S20/12</f>
        <v>37.942063445703539</v>
      </c>
      <c r="T61" s="49">
        <f>SUM($D$12*$D$13/10^8,-SUM($L$10:$L$13))/SUM('detailed-financials'!T78,'detailed-financials'!T85,-'detailed-financials'!T58)*T20/12</f>
        <v>27.703126864280723</v>
      </c>
      <c r="U61" s="49">
        <f>SUM($D$12*$D$13/10^8,-SUM($L$10:$L$13))/SUM('detailed-financials'!U78,'detailed-financials'!U85,-'detailed-financials'!U58)*U20/12</f>
        <v>20.547054972252578</v>
      </c>
      <c r="V61" s="49">
        <f>SUM($D$12*$D$13/10^8,-SUM($L$10:$L$13))/SUM('detailed-financials'!V78,'detailed-financials'!V85,-'detailed-financials'!V58)*V20/12</f>
        <v>17.278383266492462</v>
      </c>
      <c r="W61" s="49">
        <f>SUM($D$12*$D$13/10^8,-SUM($L$10:$L$13))/SUM('detailed-financials'!W78,'detailed-financials'!W85,-'detailed-financials'!W58)*W20/12</f>
        <v>15.539135498022588</v>
      </c>
    </row>
    <row r="63" spans="2:23" x14ac:dyDescent="0.3">
      <c r="B63" s="2" t="str">
        <f>"Discounted Cash Flow ("&amp;cover!E10&amp;")"</f>
        <v>Discounted Cash Flow (£m)</v>
      </c>
      <c r="C63" s="2"/>
      <c r="D63" s="5" t="s">
        <v>79</v>
      </c>
      <c r="E63" s="5">
        <f t="shared" ref="E63:K63" si="48">YEAR(E65)</f>
        <v>2023</v>
      </c>
      <c r="F63" s="2">
        <f t="shared" si="48"/>
        <v>2024</v>
      </c>
      <c r="G63" s="2">
        <f t="shared" si="48"/>
        <v>2025</v>
      </c>
      <c r="H63" s="5">
        <f t="shared" si="48"/>
        <v>2026</v>
      </c>
      <c r="I63" s="5">
        <f t="shared" si="48"/>
        <v>2027</v>
      </c>
      <c r="J63" s="5">
        <f t="shared" si="48"/>
        <v>2028</v>
      </c>
      <c r="K63" s="5">
        <f t="shared" si="48"/>
        <v>2029</v>
      </c>
      <c r="L63" s="5" t="s">
        <v>80</v>
      </c>
    </row>
    <row r="64" spans="2:23" x14ac:dyDescent="0.3">
      <c r="E64" s="1"/>
    </row>
    <row r="65" spans="2:12" x14ac:dyDescent="0.3">
      <c r="B65" s="1" t="s">
        <v>15</v>
      </c>
      <c r="D65" s="16">
        <f ca="1">D10</f>
        <v>45066</v>
      </c>
      <c r="E65" s="16">
        <f>EOMONTH(D11,6)</f>
        <v>45169</v>
      </c>
      <c r="F65" s="16">
        <f t="shared" ref="F65:K65" si="49">DATE(YEAR(E65)+1,MONTH(E65),DAY(E65))</f>
        <v>45535</v>
      </c>
      <c r="G65" s="16">
        <f t="shared" si="49"/>
        <v>45900</v>
      </c>
      <c r="H65" s="16">
        <f t="shared" si="49"/>
        <v>46265</v>
      </c>
      <c r="I65" s="16">
        <f t="shared" si="49"/>
        <v>46630</v>
      </c>
      <c r="J65" s="16">
        <f t="shared" si="49"/>
        <v>46996</v>
      </c>
      <c r="K65" s="16">
        <f t="shared" si="49"/>
        <v>47361</v>
      </c>
      <c r="L65" s="16">
        <f>K65</f>
        <v>47361</v>
      </c>
    </row>
    <row r="66" spans="2:12" x14ac:dyDescent="0.3">
      <c r="B66" s="1" t="s">
        <v>108</v>
      </c>
      <c r="D66" s="16"/>
      <c r="E66" s="18">
        <f t="shared" ref="E66:L66" si="50">MIN(1,YEARFRAC($D$11,E65))</f>
        <v>0.50277777777777777</v>
      </c>
      <c r="F66" s="18">
        <f t="shared" si="50"/>
        <v>1</v>
      </c>
      <c r="G66" s="18">
        <f t="shared" si="50"/>
        <v>1</v>
      </c>
      <c r="H66" s="18">
        <f t="shared" si="50"/>
        <v>1</v>
      </c>
      <c r="I66" s="18">
        <f t="shared" si="50"/>
        <v>1</v>
      </c>
      <c r="J66" s="18">
        <f t="shared" si="50"/>
        <v>1</v>
      </c>
      <c r="K66" s="18">
        <f t="shared" si="50"/>
        <v>1</v>
      </c>
      <c r="L66" s="18">
        <f t="shared" si="50"/>
        <v>1</v>
      </c>
    </row>
    <row r="67" spans="2:12" x14ac:dyDescent="0.3">
      <c r="B67" s="1" t="s">
        <v>81</v>
      </c>
      <c r="E67" s="36">
        <f t="shared" ref="E67:K67" ca="1" si="51">IF($D$65&gt;E65,0,YEARFRAC($D$65,E65))</f>
        <v>0.28055555555555556</v>
      </c>
      <c r="F67" s="36">
        <f t="shared" ca="1" si="51"/>
        <v>1.2805555555555554</v>
      </c>
      <c r="G67" s="36">
        <f t="shared" ca="1" si="51"/>
        <v>2.2805555555555554</v>
      </c>
      <c r="H67" s="36">
        <f t="shared" ca="1" si="51"/>
        <v>3.2805555555555554</v>
      </c>
      <c r="I67" s="36">
        <f t="shared" ca="1" si="51"/>
        <v>4.2805555555555559</v>
      </c>
      <c r="J67" s="36">
        <f t="shared" ca="1" si="51"/>
        <v>5.2805555555555559</v>
      </c>
      <c r="K67" s="36">
        <f t="shared" ca="1" si="51"/>
        <v>6.2805555555555559</v>
      </c>
      <c r="L67" s="36">
        <f ca="1">K67</f>
        <v>6.2805555555555559</v>
      </c>
    </row>
    <row r="68" spans="2:12" x14ac:dyDescent="0.3">
      <c r="B68" s="1" t="s">
        <v>38</v>
      </c>
      <c r="D68" s="19"/>
      <c r="E68" s="24">
        <f>INDEX('detailed-financials'!$E$57:$AAA$57,MATCH(summary!E65,'detailed-financials'!$E$6:$AAA$6,0))</f>
        <v>22.125925925925927</v>
      </c>
      <c r="F68" s="24">
        <f>INDEX('detailed-financials'!$E$57:$AAA$57,MATCH(summary!F65,'detailed-financials'!$E$6:$AAA$6,0))</f>
        <v>13.232050137348313</v>
      </c>
      <c r="G68" s="24">
        <f>INDEX('detailed-financials'!$E$57:$AAA$57,MATCH(summary!G65,'detailed-financials'!$E$6:$AAA$6,0))</f>
        <v>20.86337000195212</v>
      </c>
      <c r="H68" s="24">
        <f>INDEX('detailed-financials'!$E$57:$AAA$57,MATCH(summary!H65,'detailed-financials'!$E$6:$AAA$6,0))</f>
        <v>25.921643977637583</v>
      </c>
      <c r="I68" s="24">
        <f>INDEX('detailed-financials'!$E$57:$AAA$57,MATCH(summary!I65,'detailed-financials'!$E$6:$AAA$6,0))</f>
        <v>32.75229321928272</v>
      </c>
      <c r="J68" s="24">
        <f>INDEX('detailed-financials'!$E$57:$AAA$57,MATCH(summary!J65,'detailed-financials'!$E$6:$AAA$6,0))</f>
        <v>37.303108221976146</v>
      </c>
      <c r="K68" s="24">
        <f>INDEX('detailed-financials'!$E$57:$AAA$57,MATCH(summary!K65,'detailed-financials'!$E$6:$AAA$6,0))</f>
        <v>34.474263246059884</v>
      </c>
      <c r="L68" s="63">
        <f>K68*(1+$D$9)</f>
        <v>35.16374851098108</v>
      </c>
    </row>
    <row r="69" spans="2:12" x14ac:dyDescent="0.3">
      <c r="B69" s="21" t="s">
        <v>121</v>
      </c>
      <c r="D69" s="19"/>
      <c r="E69" s="43">
        <f>INDEX($M$31:$AAA$31,MATCH(E65,$M$19:$AAA$19,0))</f>
        <v>0.25</v>
      </c>
      <c r="F69" s="43">
        <f t="shared" ref="F69:L69" si="52">INDEX($M$31:$AAA$31,MATCH(F65,$M$19:$AAA$19,0))</f>
        <v>0.25</v>
      </c>
      <c r="G69" s="43">
        <f t="shared" si="52"/>
        <v>0.25</v>
      </c>
      <c r="H69" s="43">
        <f t="shared" si="52"/>
        <v>0.25</v>
      </c>
      <c r="I69" s="43">
        <f t="shared" si="52"/>
        <v>0.25</v>
      </c>
      <c r="J69" s="43">
        <f t="shared" si="52"/>
        <v>0.25</v>
      </c>
      <c r="K69" s="43">
        <f t="shared" si="52"/>
        <v>0.25</v>
      </c>
      <c r="L69" s="43">
        <f t="shared" si="52"/>
        <v>0.25</v>
      </c>
    </row>
    <row r="70" spans="2:12" x14ac:dyDescent="0.3">
      <c r="B70" s="1" t="s">
        <v>82</v>
      </c>
      <c r="D70" s="19"/>
      <c r="E70" s="24">
        <f t="shared" ref="E70:L70" si="53">-E68*E69</f>
        <v>-5.5314814814814817</v>
      </c>
      <c r="F70" s="24">
        <f t="shared" si="53"/>
        <v>-3.3080125343370783</v>
      </c>
      <c r="G70" s="24">
        <f t="shared" si="53"/>
        <v>-5.21584250048803</v>
      </c>
      <c r="H70" s="24">
        <f t="shared" si="53"/>
        <v>-6.4804109944093957</v>
      </c>
      <c r="I70" s="24">
        <f t="shared" si="53"/>
        <v>-8.18807330482068</v>
      </c>
      <c r="J70" s="24">
        <f t="shared" si="53"/>
        <v>-9.3257770554940365</v>
      </c>
      <c r="K70" s="24">
        <f t="shared" si="53"/>
        <v>-8.618565811514971</v>
      </c>
      <c r="L70" s="63">
        <f t="shared" si="53"/>
        <v>-8.7909371277452699</v>
      </c>
    </row>
    <row r="71" spans="2:12" x14ac:dyDescent="0.3">
      <c r="B71" s="1" t="s">
        <v>83</v>
      </c>
      <c r="D71" s="19"/>
      <c r="E71" s="24">
        <f>-INDEX('detailed-financials'!$E$56:$AAA$56,MATCH(summary!E65,'detailed-financials'!$E$6:$AAA$6,0))</f>
        <v>11.67407407407407</v>
      </c>
      <c r="F71" s="24">
        <f>-INDEX('detailed-financials'!$E$56:$AAA$56,MATCH(summary!F65,'detailed-financials'!$E$6:$AAA$6,0))</f>
        <v>10.671993842770188</v>
      </c>
      <c r="G71" s="24">
        <f>-INDEX('detailed-financials'!$E$56:$AAA$56,MATCH(summary!G65,'detailed-financials'!$E$6:$AAA$6,0))</f>
        <v>10.526733894065933</v>
      </c>
      <c r="H71" s="24">
        <f>-INDEX('detailed-financials'!$E$56:$AAA$56,MATCH(summary!H65,'detailed-financials'!$E$6:$AAA$6,0))</f>
        <v>10.575287078900377</v>
      </c>
      <c r="I71" s="24">
        <f>-INDEX('detailed-financials'!$E$56:$AAA$56,MATCH(summary!I65,'detailed-financials'!$E$6:$AAA$6,0))</f>
        <v>10.77745413104377</v>
      </c>
      <c r="J71" s="24">
        <f>-INDEX('detailed-financials'!$E$56:$AAA$56,MATCH(summary!J65,'detailed-financials'!$E$6:$AAA$6,0))</f>
        <v>11.09118060871695</v>
      </c>
      <c r="K71" s="24">
        <f>-INDEX('detailed-financials'!$E$56:$AAA$56,MATCH(summary!K65,'detailed-financials'!$E$6:$AAA$6,0))</f>
        <v>11.473052270634144</v>
      </c>
      <c r="L71" s="63">
        <f>K71/$K$68*$L$68</f>
        <v>11.702513316046826</v>
      </c>
    </row>
    <row r="72" spans="2:12" x14ac:dyDescent="0.3">
      <c r="B72" s="1" t="s">
        <v>84</v>
      </c>
      <c r="D72" s="19"/>
      <c r="E72" s="24">
        <f>INDEX('detailed-financials'!$E$81:$AAA$81,MATCH(summary!E65,'detailed-financials'!$E$6:$AAA$6,0))</f>
        <v>0</v>
      </c>
      <c r="F72" s="24">
        <f>INDEX('detailed-financials'!$E$81:$AAA$81,MATCH(summary!F65,'detailed-financials'!$E$6:$AAA$6,0))</f>
        <v>0</v>
      </c>
      <c r="G72" s="24">
        <f>INDEX('detailed-financials'!$E$81:$AAA$81,MATCH(summary!G65,'detailed-financials'!$E$6:$AAA$6,0))</f>
        <v>0</v>
      </c>
      <c r="H72" s="24">
        <f>INDEX('detailed-financials'!$E$81:$AAA$81,MATCH(summary!H65,'detailed-financials'!$E$6:$AAA$6,0))</f>
        <v>0</v>
      </c>
      <c r="I72" s="24">
        <f>INDEX('detailed-financials'!$E$81:$AAA$81,MATCH(summary!I65,'detailed-financials'!$E$6:$AAA$6,0))</f>
        <v>0</v>
      </c>
      <c r="J72" s="24">
        <f>INDEX('detailed-financials'!$E$81:$AAA$81,MATCH(summary!J65,'detailed-financials'!$E$6:$AAA$6,0))</f>
        <v>0</v>
      </c>
      <c r="K72" s="24">
        <f>INDEX('detailed-financials'!$E$81:$AAA$81,MATCH(summary!K65,'detailed-financials'!$E$6:$AAA$6,0))</f>
        <v>0</v>
      </c>
      <c r="L72" s="63">
        <f>K72/$K$68*$L$68</f>
        <v>0</v>
      </c>
    </row>
    <row r="73" spans="2:12" x14ac:dyDescent="0.3">
      <c r="B73" s="1" t="s">
        <v>85</v>
      </c>
      <c r="D73" s="19"/>
      <c r="E73" s="24">
        <f>INDEX('detailed-financials'!$E$74:$AAA$74,MATCH(summary!E65,'detailed-financials'!$E$6:$AAA$6,0))</f>
        <v>9.1592069719908551</v>
      </c>
      <c r="F73" s="24">
        <f>INDEX('detailed-financials'!$E$74:$AAA$74,MATCH(summary!F65,'detailed-financials'!$E$6:$AAA$6,0))</f>
        <v>7.4967187044445467</v>
      </c>
      <c r="G73" s="24">
        <f>INDEX('detailed-financials'!$E$74:$AAA$74,MATCH(summary!G65,'detailed-financials'!$E$6:$AAA$6,0))</f>
        <v>-6.8503382459945286</v>
      </c>
      <c r="H73" s="24">
        <f>INDEX('detailed-financials'!$E$74:$AAA$74,MATCH(summary!H65,'detailed-financials'!$E$6:$AAA$6,0))</f>
        <v>-6.3587291602256926</v>
      </c>
      <c r="I73" s="24">
        <f>INDEX('detailed-financials'!$E$74:$AAA$74,MATCH(summary!I65,'detailed-financials'!$E$6:$AAA$6,0))</f>
        <v>-6.5362822739141606</v>
      </c>
      <c r="J73" s="24">
        <f>INDEX('detailed-financials'!$E$74:$AAA$74,MATCH(summary!J65,'detailed-financials'!$E$6:$AAA$6,0))</f>
        <v>-6.4190782318852015</v>
      </c>
      <c r="K73" s="24">
        <f>INDEX('detailed-financials'!$E$74:$AAA$74,MATCH(summary!K65,'detailed-financials'!$E$6:$AAA$6,0))</f>
        <v>-1.972340089423362</v>
      </c>
      <c r="L73" s="63">
        <f>(L68-K68)/(K68-E68)*SUM(E73:K73)</f>
        <v>-0.64104756832885312</v>
      </c>
    </row>
    <row r="74" spans="2:12" x14ac:dyDescent="0.3">
      <c r="B74" s="1" t="s">
        <v>87</v>
      </c>
      <c r="D74" s="19"/>
      <c r="E74" s="24">
        <f t="shared" ref="E74:L74" si="54">SUM(E70:E73,E68)*E66</f>
        <v>18.81782864939499</v>
      </c>
      <c r="F74" s="24">
        <f t="shared" si="54"/>
        <v>28.092750150225971</v>
      </c>
      <c r="G74" s="24">
        <f t="shared" si="54"/>
        <v>19.323923149535496</v>
      </c>
      <c r="H74" s="24">
        <f t="shared" si="54"/>
        <v>23.657790901902871</v>
      </c>
      <c r="I74" s="24">
        <f t="shared" si="54"/>
        <v>28.805391771591651</v>
      </c>
      <c r="J74" s="24">
        <f t="shared" si="54"/>
        <v>32.649433543313862</v>
      </c>
      <c r="K74" s="24">
        <f t="shared" si="54"/>
        <v>35.356409615755695</v>
      </c>
      <c r="L74" s="24">
        <f t="shared" si="54"/>
        <v>37.434277130953781</v>
      </c>
    </row>
    <row r="75" spans="2:12" x14ac:dyDescent="0.3">
      <c r="B75" s="1" t="s">
        <v>99</v>
      </c>
      <c r="D75" s="19"/>
      <c r="E75" s="19"/>
      <c r="F75" s="19"/>
      <c r="G75" s="19"/>
      <c r="H75" s="19"/>
      <c r="I75" s="19"/>
      <c r="J75" s="19"/>
      <c r="K75" s="19"/>
      <c r="L75" s="37">
        <f>($L$74*(1+$D$9))/($D$8-$D$9)</f>
        <v>377.24978468664654</v>
      </c>
    </row>
    <row r="76" spans="2:12" x14ac:dyDescent="0.3">
      <c r="B76" s="1" t="s">
        <v>100</v>
      </c>
      <c r="D76" s="19"/>
      <c r="E76" s="24">
        <f t="shared" ref="E76:K76" ca="1" si="55">E74/(1+$D$8)^E67</f>
        <v>18.223387947021681</v>
      </c>
      <c r="F76" s="24">
        <f t="shared" ca="1" si="55"/>
        <v>24.264165124501723</v>
      </c>
      <c r="G76" s="24">
        <f t="shared" ca="1" si="55"/>
        <v>14.885995479860377</v>
      </c>
      <c r="H76" s="24">
        <f t="shared" ca="1" si="55"/>
        <v>16.254299402544049</v>
      </c>
      <c r="I76" s="24">
        <f t="shared" ca="1" si="55"/>
        <v>17.651407349710276</v>
      </c>
      <c r="J76" s="24">
        <f t="shared" ca="1" si="55"/>
        <v>17.844019412420295</v>
      </c>
      <c r="K76" s="24">
        <f t="shared" ca="1" si="55"/>
        <v>17.234420219468387</v>
      </c>
      <c r="L76" s="24">
        <f ca="1">L75/(1+$D$8)^L67</f>
        <v>183.88974976962382</v>
      </c>
    </row>
    <row r="77" spans="2:12" x14ac:dyDescent="0.3">
      <c r="D77" s="19"/>
      <c r="E77" s="20"/>
      <c r="F77" s="19"/>
      <c r="G77" s="19"/>
      <c r="H77" s="19"/>
      <c r="I77" s="19"/>
      <c r="J77" s="19"/>
    </row>
    <row r="78" spans="2:12" x14ac:dyDescent="0.3">
      <c r="B78" s="1" t="s">
        <v>316</v>
      </c>
      <c r="C78" s="100">
        <f ca="1">SUM(E76:L76)</f>
        <v>310.2474447051506</v>
      </c>
    </row>
    <row r="84" spans="11:11" x14ac:dyDescent="0.3">
      <c r="K84" s="1" t="s">
        <v>312</v>
      </c>
    </row>
  </sheetData>
  <sheetProtection algorithmName="SHA-512" hashValue="spfBHc5E/fzi5NvRqGcPdpEj9Q9U/ljqVz4jbnwv07pObfrYL2RjkfStIwaorOQ505k2R9uhrFVtiN4yVmTgAg==" saltValue="sF4HzbxDRJ0+pji7t6FOwg==" spinCount="100000" sheet="1" selectLockedCells="1"/>
  <conditionalFormatting sqref="D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ignoredErrors>
    <ignoredError sqref="Q3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E8FF0C00-272B-44E0-9369-8764AD5348F8}">
            <xm:f>D$15&gt;cover!$E$14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E68:F68 E71:F73 H71:K73 H68:K68</xm:sqref>
        </x14:conditionalFormatting>
        <x14:conditionalFormatting xmlns:xm="http://schemas.microsoft.com/office/excel/2006/main">
          <x14:cfRule type="expression" priority="18" id="{E3298429-3BA3-4781-AF4F-0CE3148DC9A9}">
            <xm:f>E$19&gt;cover!$E$13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E43:P48 E50:P50 E52:P52 E24:P39</xm:sqref>
        </x14:conditionalFormatting>
        <x14:conditionalFormatting xmlns:xm="http://schemas.microsoft.com/office/excel/2006/main">
          <x14:cfRule type="expression" priority="11" id="{699A536D-8A4B-46C5-B510-BA0959C6B272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F68 F71:F73 H71:H73 H68</xm:sqref>
        </x14:conditionalFormatting>
        <x14:conditionalFormatting xmlns:xm="http://schemas.microsoft.com/office/excel/2006/main">
          <x14:cfRule type="expression" priority="58" id="{E8FF0C00-272B-44E0-9369-8764AD5348F8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I68 K68 I71:I73 K71:K73</xm:sqref>
        </x14:conditionalFormatting>
        <x14:conditionalFormatting xmlns:xm="http://schemas.microsoft.com/office/excel/2006/main">
          <x14:cfRule type="expression" priority="8" id="{8B205539-E932-4649-B9DE-254DB7AA75FF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J68 J71:J73</xm:sqref>
        </x14:conditionalFormatting>
        <x14:conditionalFormatting xmlns:xm="http://schemas.microsoft.com/office/excel/2006/main">
          <x14:cfRule type="expression" priority="64" id="{E3298429-3BA3-4781-AF4F-0CE3148DC9A9}">
            <xm:f>X$19&lt;cover!$E$13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Q24:W24 Q36:W37 Q39:W39</xm:sqref>
        </x14:conditionalFormatting>
        <x14:conditionalFormatting xmlns:xm="http://schemas.microsoft.com/office/excel/2006/main">
          <x14:cfRule type="expression" priority="4" id="{D099510A-92A1-483C-B2CA-A57978D55279}">
            <xm:f>X$19&lt;cover!$E$13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Q29:W34 Q26:W27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B2A8-5C40-4A5F-9E02-CB49A082C27D}">
  <sheetPr>
    <tabColor theme="4" tint="0.79998168889431442"/>
  </sheetPr>
  <dimension ref="A1:I26"/>
  <sheetViews>
    <sheetView topLeftCell="A3" workbookViewId="0">
      <selection activeCell="I25" sqref="I25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9" ht="33.6" x14ac:dyDescent="0.65">
      <c r="B1" s="66" t="s">
        <v>133</v>
      </c>
    </row>
    <row r="2" spans="1:9" s="15" customFormat="1" ht="15" thickBot="1" x14ac:dyDescent="0.35">
      <c r="A2" s="13"/>
      <c r="B2" s="14" t="str">
        <f ca="1">UPPER(cover!E8&amp;" - "&amp;DAY(cover!E12)&amp;"/"&amp;MONTH(cover!E12)&amp;"/"&amp;YEAR(cover!E12))</f>
        <v>FOCUSRITE PLC - 20/5/2023</v>
      </c>
      <c r="E2" s="13"/>
    </row>
    <row r="3" spans="1:9" ht="15" thickTop="1" x14ac:dyDescent="0.3">
      <c r="B3" s="25" t="str">
        <f>IF(checks!E10&lt;&gt;0,"**ERROR**","")</f>
        <v/>
      </c>
    </row>
    <row r="4" spans="1:9" s="3" customFormat="1" x14ac:dyDescent="0.3">
      <c r="A4" s="5"/>
      <c r="B4" s="2" t="s">
        <v>59</v>
      </c>
      <c r="E4" s="4"/>
    </row>
    <row r="6" spans="1:9" x14ac:dyDescent="0.3">
      <c r="B6" s="2" t="s">
        <v>112</v>
      </c>
      <c r="C6" s="3"/>
      <c r="D6" s="3"/>
      <c r="E6" s="4"/>
      <c r="F6" s="4"/>
      <c r="G6" s="4"/>
      <c r="H6" s="4"/>
      <c r="I6" s="4"/>
    </row>
    <row r="8" spans="1:9" x14ac:dyDescent="0.3">
      <c r="B8" s="2" t="s">
        <v>94</v>
      </c>
      <c r="C8" s="3"/>
      <c r="D8" s="3"/>
      <c r="E8" s="4"/>
      <c r="G8" s="2" t="s">
        <v>59</v>
      </c>
      <c r="H8" s="2"/>
      <c r="I8" s="5"/>
    </row>
    <row r="10" spans="1:9" x14ac:dyDescent="0.3">
      <c r="B10" s="1" t="s">
        <v>72</v>
      </c>
      <c r="E10" s="64">
        <v>4.3560000000000001E-2</v>
      </c>
      <c r="G10" s="1" t="s">
        <v>60</v>
      </c>
      <c r="I10" s="34">
        <f>E16</f>
        <v>1.22</v>
      </c>
    </row>
    <row r="11" spans="1:9" x14ac:dyDescent="0.3">
      <c r="B11" s="1" t="s">
        <v>73</v>
      </c>
      <c r="E11" s="64">
        <v>6.5000000000000002E-2</v>
      </c>
      <c r="F11" s="42"/>
      <c r="G11" s="1" t="s">
        <v>61</v>
      </c>
      <c r="I11" s="32">
        <f>-SUM(summary!L10:L12)/WACC!E13</f>
        <v>6.3420278976668548E-2</v>
      </c>
    </row>
    <row r="12" spans="1:9" x14ac:dyDescent="0.3">
      <c r="B12" s="1" t="s">
        <v>74</v>
      </c>
      <c r="E12" s="64">
        <f>summary!P30</f>
        <v>4.7713717693836977E-2</v>
      </c>
      <c r="G12" s="1" t="s">
        <v>62</v>
      </c>
      <c r="I12" s="35">
        <f>$E$15</f>
        <v>0.25</v>
      </c>
    </row>
    <row r="13" spans="1:9" x14ac:dyDescent="0.3">
      <c r="B13" s="1" t="s">
        <v>302</v>
      </c>
      <c r="E13" s="60">
        <v>319.74</v>
      </c>
      <c r="G13" s="1" t="s">
        <v>63</v>
      </c>
      <c r="I13" s="31">
        <f>I10*(1+(1-I12)*(I11))</f>
        <v>1.2780295552636516</v>
      </c>
    </row>
    <row r="14" spans="1:9" x14ac:dyDescent="0.3">
      <c r="B14" s="1" t="s">
        <v>303</v>
      </c>
      <c r="E14" s="65">
        <v>540</v>
      </c>
    </row>
    <row r="15" spans="1:9" x14ac:dyDescent="0.3">
      <c r="B15" s="1" t="s">
        <v>95</v>
      </c>
      <c r="E15" s="64">
        <v>0.25</v>
      </c>
      <c r="G15" s="1" t="s">
        <v>64</v>
      </c>
      <c r="I15" s="35">
        <f>WACC!$E$10</f>
        <v>4.3560000000000001E-2</v>
      </c>
    </row>
    <row r="16" spans="1:9" x14ac:dyDescent="0.3">
      <c r="B16" s="1" t="s">
        <v>96</v>
      </c>
      <c r="E16" s="65">
        <v>1.22</v>
      </c>
      <c r="G16" s="1" t="s">
        <v>65</v>
      </c>
      <c r="I16" s="35">
        <f>WACC!$E$11</f>
        <v>6.5000000000000002E-2</v>
      </c>
    </row>
    <row r="17" spans="2:9" x14ac:dyDescent="0.3">
      <c r="B17" s="1" t="s">
        <v>97</v>
      </c>
      <c r="E17" s="64">
        <v>0</v>
      </c>
      <c r="G17" s="1" t="s">
        <v>66</v>
      </c>
      <c r="I17" s="40">
        <f>$E$17</f>
        <v>0</v>
      </c>
    </row>
    <row r="18" spans="2:9" x14ac:dyDescent="0.3">
      <c r="E18" s="1"/>
      <c r="G18" s="1" t="s">
        <v>67</v>
      </c>
      <c r="I18" s="32">
        <f>I16*I13+I15+I17</f>
        <v>0.12663192109213736</v>
      </c>
    </row>
    <row r="19" spans="2:9" x14ac:dyDescent="0.3">
      <c r="E19" s="1"/>
      <c r="G19" s="1" t="s">
        <v>68</v>
      </c>
      <c r="I19" s="59">
        <f>I18</f>
        <v>0.12663192109213736</v>
      </c>
    </row>
    <row r="20" spans="2:9" x14ac:dyDescent="0.3">
      <c r="E20" s="1"/>
      <c r="I20" s="33"/>
    </row>
    <row r="21" spans="2:9" x14ac:dyDescent="0.3">
      <c r="E21" s="1"/>
      <c r="G21" s="1" t="s">
        <v>69</v>
      </c>
      <c r="I21" s="35">
        <f>WACC!$E$12</f>
        <v>4.7713717693836977E-2</v>
      </c>
    </row>
    <row r="22" spans="2:9" x14ac:dyDescent="0.3">
      <c r="E22" s="1"/>
      <c r="G22" s="1" t="s">
        <v>70</v>
      </c>
      <c r="I22" s="32">
        <f>I21*(1-I12)</f>
        <v>3.5785288270377733E-2</v>
      </c>
    </row>
    <row r="23" spans="2:9" x14ac:dyDescent="0.3">
      <c r="E23" s="1"/>
      <c r="I23" s="33"/>
    </row>
    <row r="24" spans="2:9" x14ac:dyDescent="0.3">
      <c r="E24" s="1"/>
      <c r="G24" s="1" t="s">
        <v>59</v>
      </c>
      <c r="I24" s="32">
        <f>(I11/(1+I11))*I22+((1-I11/(1+I11))*I19)</f>
        <v>0.12121400786295643</v>
      </c>
    </row>
    <row r="25" spans="2:9" x14ac:dyDescent="0.3">
      <c r="E25" s="1"/>
      <c r="G25" s="1" t="s">
        <v>71</v>
      </c>
      <c r="I25" s="59">
        <f>I24</f>
        <v>0.12121400786295643</v>
      </c>
    </row>
    <row r="26" spans="2:9" x14ac:dyDescent="0.3">
      <c r="E26" s="1"/>
    </row>
  </sheetData>
  <sheetProtection algorithmName="SHA-512" hashValue="XIF9JVopKf+U6e7hbnczS00Mq59orUCtQgzaKmUhjtBkN74ABBdeB02afOm9TM/wPlmI6DrWVBV+6cQnghX1ww==" saltValue="SrkeD/8/M90gj28HONDgPQ==" spinCount="100000" sheet="1" objects="1" scenarios="1" select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A531-A092-4387-AB46-45A4AD3DAB9E}">
  <sheetPr>
    <tabColor theme="4" tint="0.79998168889431442"/>
  </sheetPr>
  <dimension ref="A1:W100"/>
  <sheetViews>
    <sheetView zoomScale="74" zoomScaleNormal="100" workbookViewId="0">
      <pane xSplit="4" ySplit="7" topLeftCell="E8" activePane="bottomRight" state="frozen"/>
      <selection activeCell="E9" sqref="E9"/>
      <selection pane="topRight" activeCell="E9" sqref="E9"/>
      <selection pane="bottomLeft" activeCell="E9" sqref="E9"/>
      <selection pane="bottomRight" activeCell="L85" sqref="L85:O85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6" width="12.6640625" style="8" customWidth="1"/>
    <col min="7" max="53" width="12.6640625" style="1" customWidth="1"/>
    <col min="54" max="16384" width="9.109375" style="1"/>
  </cols>
  <sheetData>
    <row r="1" spans="1:23" ht="33.6" x14ac:dyDescent="0.65">
      <c r="B1" s="66" t="s">
        <v>133</v>
      </c>
    </row>
    <row r="2" spans="1:23" s="15" customFormat="1" ht="15" thickBot="1" x14ac:dyDescent="0.35">
      <c r="A2" s="13"/>
      <c r="B2" s="14" t="str">
        <f ca="1">UPPER(cover!E8&amp;" - "&amp;DAY(cover!E12)&amp;"/"&amp;MONTH(cover!E12)&amp;"/"&amp;YEAR(cover!E12))</f>
        <v>FOCUSRITE PLC - 20/5/2023</v>
      </c>
      <c r="E2" s="13"/>
      <c r="F2" s="13"/>
    </row>
    <row r="3" spans="1:23" ht="15" thickTop="1" x14ac:dyDescent="0.3">
      <c r="B3" s="25" t="str">
        <f>IF(checks!E10&lt;&gt;0,"**ERROR**","")</f>
        <v/>
      </c>
    </row>
    <row r="4" spans="1:23" s="3" customFormat="1" x14ac:dyDescent="0.3">
      <c r="A4" s="5"/>
      <c r="B4" s="2" t="s">
        <v>14</v>
      </c>
      <c r="D4" s="5" t="str">
        <f>cover!$E$10</f>
        <v>£m</v>
      </c>
      <c r="E4" s="4"/>
      <c r="F4" s="4"/>
    </row>
    <row r="6" spans="1:23" x14ac:dyDescent="0.3">
      <c r="B6" s="1" t="s">
        <v>15</v>
      </c>
      <c r="D6" s="16"/>
      <c r="E6" s="16">
        <v>41152</v>
      </c>
      <c r="F6" s="16">
        <f>EOMONTH(E6,12)</f>
        <v>41517</v>
      </c>
      <c r="G6" s="16">
        <f t="shared" ref="G6:T6" si="0">EOMONTH(F6,12)</f>
        <v>41882</v>
      </c>
      <c r="H6" s="16">
        <f t="shared" si="0"/>
        <v>42247</v>
      </c>
      <c r="I6" s="16">
        <f t="shared" si="0"/>
        <v>42613</v>
      </c>
      <c r="J6" s="16">
        <f t="shared" si="0"/>
        <v>42978</v>
      </c>
      <c r="K6" s="16">
        <f t="shared" si="0"/>
        <v>43343</v>
      </c>
      <c r="L6" s="16">
        <f t="shared" si="0"/>
        <v>43708</v>
      </c>
      <c r="M6" s="16">
        <f t="shared" ref="M6:O6" si="1">EOMONTH(L6,12)</f>
        <v>44074</v>
      </c>
      <c r="N6" s="16">
        <f t="shared" si="1"/>
        <v>44439</v>
      </c>
      <c r="O6" s="16">
        <f t="shared" si="1"/>
        <v>44804</v>
      </c>
      <c r="P6" s="16">
        <v>44985</v>
      </c>
      <c r="Q6" s="16">
        <f>EOMONTH(O6,12)</f>
        <v>45169</v>
      </c>
      <c r="R6" s="16">
        <f t="shared" si="0"/>
        <v>45535</v>
      </c>
      <c r="S6" s="16">
        <f t="shared" si="0"/>
        <v>45900</v>
      </c>
      <c r="T6" s="16">
        <f t="shared" si="0"/>
        <v>46265</v>
      </c>
      <c r="U6" s="16">
        <f t="shared" ref="U6:V6" si="2">EOMONTH(T6,12)</f>
        <v>46630</v>
      </c>
      <c r="V6" s="16">
        <f t="shared" si="2"/>
        <v>46996</v>
      </c>
      <c r="W6" s="16">
        <f t="shared" ref="W6" si="3">EOMONTH(V6,12)</f>
        <v>47361</v>
      </c>
    </row>
    <row r="7" spans="1:23" x14ac:dyDescent="0.3">
      <c r="B7" s="1" t="s">
        <v>43</v>
      </c>
      <c r="E7" s="1">
        <v>12</v>
      </c>
      <c r="F7" s="1">
        <f t="shared" ref="F7" si="4">YEAR(F6)*12+MONTH(F6)-YEAR(E6)*12-MONTH(E6)</f>
        <v>12</v>
      </c>
      <c r="G7" s="1">
        <f t="shared" ref="G7" si="5">YEAR(G6)*12+MONTH(G6)-YEAR(F6)*12-MONTH(F6)</f>
        <v>12</v>
      </c>
      <c r="H7" s="1">
        <f t="shared" ref="H7" si="6">YEAR(H6)*12+MONTH(H6)-YEAR(G6)*12-MONTH(G6)</f>
        <v>12</v>
      </c>
      <c r="I7" s="1">
        <f t="shared" ref="I7" si="7">YEAR(I6)*12+MONTH(I6)-YEAR(H6)*12-MONTH(H6)</f>
        <v>12</v>
      </c>
      <c r="J7" s="1">
        <f t="shared" ref="J7" si="8">YEAR(J6)*12+MONTH(J6)-YEAR(I6)*12-MONTH(I6)</f>
        <v>12</v>
      </c>
      <c r="K7" s="1">
        <f t="shared" ref="K7" si="9">YEAR(K6)*12+MONTH(K6)-YEAR(J6)*12-MONTH(J6)</f>
        <v>12</v>
      </c>
      <c r="L7" s="1">
        <f t="shared" ref="L7" si="10">YEAR(L6)*12+MONTH(L6)-YEAR(K6)*12-MONTH(K6)</f>
        <v>12</v>
      </c>
      <c r="M7" s="1">
        <f t="shared" ref="M7" si="11">YEAR(M6)*12+MONTH(M6)-YEAR(L6)*12-MONTH(L6)</f>
        <v>12</v>
      </c>
      <c r="N7" s="1">
        <f t="shared" ref="N7" si="12">YEAR(N6)*12+MONTH(N6)-YEAR(M6)*12-MONTH(M6)</f>
        <v>12</v>
      </c>
      <c r="O7" s="1">
        <f t="shared" ref="O7:P7" si="13">YEAR(O6)*12+MONTH(O6)-YEAR(N6)*12-MONTH(N6)</f>
        <v>12</v>
      </c>
      <c r="P7" s="1">
        <f t="shared" si="13"/>
        <v>6</v>
      </c>
      <c r="Q7" s="1">
        <f t="shared" ref="Q7" si="14">YEAR(Q6)*12+MONTH(Q6)-YEAR(O6)*12-MONTH(O6)</f>
        <v>12</v>
      </c>
      <c r="R7" s="1">
        <f t="shared" ref="R7" si="15">YEAR(R6)*12+MONTH(R6)-YEAR(Q6)*12-MONTH(Q6)</f>
        <v>12</v>
      </c>
      <c r="S7" s="1">
        <f t="shared" ref="S7" si="16">YEAR(S6)*12+MONTH(S6)-YEAR(R6)*12-MONTH(R6)</f>
        <v>12</v>
      </c>
      <c r="T7" s="1">
        <f t="shared" ref="T7" si="17">YEAR(T6)*12+MONTH(T6)-YEAR(S6)*12-MONTH(S6)</f>
        <v>12</v>
      </c>
      <c r="U7" s="1">
        <f t="shared" ref="U7" si="18">YEAR(U6)*12+MONTH(U6)-YEAR(T6)*12-MONTH(T6)</f>
        <v>12</v>
      </c>
      <c r="V7" s="1">
        <f t="shared" ref="V7:W7" si="19">YEAR(V6)*12+MONTH(V6)-YEAR(U6)*12-MONTH(U6)</f>
        <v>12</v>
      </c>
      <c r="W7" s="1">
        <f t="shared" si="19"/>
        <v>12</v>
      </c>
    </row>
    <row r="10" spans="1:23" x14ac:dyDescent="0.3">
      <c r="B10" s="2" t="s">
        <v>31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</row>
    <row r="12" spans="1:23" x14ac:dyDescent="0.3">
      <c r="B12" s="1" t="s">
        <v>205</v>
      </c>
      <c r="E12" s="56">
        <f>INDEX(bs!$B$4:$X$68,MATCH($B12,bs!$A$4:$A$68,0),MATCH(E$6,bs!$B$3:$X$3,0))</f>
        <v>2.2999999999999998</v>
      </c>
      <c r="F12" s="56">
        <f>INDEX(bs!$B$4:$X$68,MATCH($B12,bs!$A$4:$A$68,0),MATCH(F$6,bs!$B$3:$X$3,0))</f>
        <v>1.6</v>
      </c>
      <c r="G12" s="56">
        <f>INDEX(bs!$B$4:$X$68,MATCH($B12,bs!$A$4:$A$68,0),MATCH(G$6,bs!$B$3:$X$3,0))</f>
        <v>3.8</v>
      </c>
      <c r="H12" s="56">
        <f>INDEX(bs!$B$4:$X$68,MATCH($B12,bs!$A$4:$A$68,0),MATCH(H$6,bs!$B$3:$X$3,0))</f>
        <v>6.2</v>
      </c>
      <c r="I12" s="56">
        <f>INDEX(bs!$B$4:$X$68,MATCH($B12,bs!$A$4:$A$68,0),MATCH(I$6,bs!$B$3:$X$3,0))</f>
        <v>5.6</v>
      </c>
      <c r="J12" s="56">
        <f>INDEX(bs!$B$4:$X$68,MATCH($B12,bs!$A$4:$A$68,0),MATCH(J$6,bs!$B$3:$X$3,0))</f>
        <v>14.2</v>
      </c>
      <c r="K12" s="56">
        <f>INDEX(bs!$B$4:$X$68,MATCH($B12,bs!$A$4:$A$68,0),MATCH(K$6,bs!$B$3:$X$3,0))</f>
        <v>22.8</v>
      </c>
      <c r="L12" s="56">
        <f>INDEX(bs!$B$4:$X$68,MATCH($B12,bs!$A$4:$A$68,0),MATCH(L$6,bs!$B$3:$X$3,0))</f>
        <v>15.5</v>
      </c>
      <c r="M12" s="56">
        <f>INDEX(bs!$B$4:$X$68,MATCH($B12,bs!$A$4:$A$68,0),MATCH(M$6,bs!$B$3:$X$3,0))</f>
        <v>15</v>
      </c>
      <c r="N12" s="56">
        <f>INDEX(bs!$B$4:$X$68,MATCH($B12,bs!$A$4:$A$68,0),MATCH(N$6,bs!$B$3:$X$3,0))</f>
        <v>17.3</v>
      </c>
      <c r="O12" s="56">
        <f>INDEX(bs!$B$4:$X$68,MATCH($B12,bs!$A$4:$A$68,0),MATCH(O$6,bs!$B$3:$X$3,0))</f>
        <v>12.8</v>
      </c>
      <c r="P12" s="56">
        <f>INDEX(bs!$B$4:$X$68,MATCH($B12,bs!$A$4:$A$68,0),MATCH(P$6,bs!$B$3:$X$3,0))</f>
        <v>13.5</v>
      </c>
      <c r="Q12" s="28">
        <f>Q97</f>
        <v>39.274954426962282</v>
      </c>
      <c r="R12" s="28">
        <f>R97</f>
        <v>55.560396517059203</v>
      </c>
      <c r="S12" s="28">
        <f t="shared" ref="S12:T12" si="20">S97</f>
        <v>61.175518078176857</v>
      </c>
      <c r="T12" s="28">
        <f t="shared" si="20"/>
        <v>69.54955021774829</v>
      </c>
      <c r="U12" s="28">
        <f t="shared" ref="U12:V12" si="21">U97</f>
        <v>81.454959480766917</v>
      </c>
      <c r="V12" s="28">
        <f t="shared" si="21"/>
        <v>95.990302592313938</v>
      </c>
      <c r="W12" s="28">
        <f t="shared" ref="W12" si="22">W97</f>
        <v>112.95962839445417</v>
      </c>
    </row>
    <row r="13" spans="1:23" x14ac:dyDescent="0.3">
      <c r="B13" s="1" t="s">
        <v>16</v>
      </c>
      <c r="E13" s="56">
        <f>E16-E12-E14-E15</f>
        <v>8.1000000000000014</v>
      </c>
      <c r="F13" s="56">
        <f t="shared" ref="F13:L13" si="23">F16-F12-F14-F15</f>
        <v>14.6</v>
      </c>
      <c r="G13" s="56">
        <f t="shared" si="23"/>
        <v>12.999999999999998</v>
      </c>
      <c r="H13" s="56">
        <f t="shared" si="23"/>
        <v>16.400000000000002</v>
      </c>
      <c r="I13" s="56">
        <f t="shared" si="23"/>
        <v>22.6</v>
      </c>
      <c r="J13" s="56">
        <f t="shared" si="23"/>
        <v>21.3</v>
      </c>
      <c r="K13" s="56">
        <f t="shared" si="23"/>
        <v>24.7</v>
      </c>
      <c r="L13" s="56">
        <f t="shared" si="23"/>
        <v>33.4</v>
      </c>
      <c r="M13" s="56">
        <f t="shared" ref="M13:O13" si="24">M16-M12-M14-M15</f>
        <v>37.1</v>
      </c>
      <c r="N13" s="56">
        <f t="shared" si="24"/>
        <v>36.399999999999991</v>
      </c>
      <c r="O13" s="56">
        <f t="shared" si="24"/>
        <v>77.2</v>
      </c>
      <c r="P13" s="56">
        <f t="shared" ref="P13" si="25">P16-P12-P14-P15</f>
        <v>78.2</v>
      </c>
      <c r="Q13" s="28">
        <f>Q50*summary!O32/365</f>
        <v>72.451170386499726</v>
      </c>
      <c r="R13" s="28">
        <f>R50*summary!Q32/365</f>
        <v>64.954451682055179</v>
      </c>
      <c r="S13" s="28">
        <f>S50*summary!R32/365</f>
        <v>72.748985883901824</v>
      </c>
      <c r="T13" s="28">
        <f>T50*summary!S32/365</f>
        <v>80.023884472291996</v>
      </c>
      <c r="U13" s="28">
        <f>U50*summary!T32/365</f>
        <v>86.425795230075366</v>
      </c>
      <c r="V13" s="28">
        <f>V50*summary!U32/365</f>
        <v>91.611342943879905</v>
      </c>
      <c r="W13" s="28">
        <f>W50*summary!V32/365</f>
        <v>95.275796661635098</v>
      </c>
    </row>
    <row r="14" spans="1:23" x14ac:dyDescent="0.3">
      <c r="B14" s="1" t="s">
        <v>204</v>
      </c>
      <c r="E14" s="56">
        <f>INDEX(bs!$B$4:$X$68,MATCH($B14,bs!$A$4:$A$68,0),MATCH(E$6,bs!$B$3:$X$3,0))</f>
        <v>0</v>
      </c>
      <c r="F14" s="56">
        <f>INDEX(bs!$B$4:$X$68,MATCH($B14,bs!$A$4:$A$68,0),MATCH(F$6,bs!$B$3:$X$3,0))</f>
        <v>0</v>
      </c>
      <c r="G14" s="56">
        <f>INDEX(bs!$B$4:$X$68,MATCH($B14,bs!$A$4:$A$68,0),MATCH(G$6,bs!$B$3:$X$3,0))</f>
        <v>0</v>
      </c>
      <c r="H14" s="56">
        <f>INDEX(bs!$B$4:$X$68,MATCH($B14,bs!$A$4:$A$68,0),MATCH(H$6,bs!$B$3:$X$3,0))</f>
        <v>0</v>
      </c>
      <c r="I14" s="56">
        <f>INDEX(bs!$B$4:$X$68,MATCH($B14,bs!$A$4:$A$68,0),MATCH(I$6,bs!$B$3:$X$3,0))</f>
        <v>0</v>
      </c>
      <c r="J14" s="56">
        <f>INDEX(bs!$B$4:$X$68,MATCH($B14,bs!$A$4:$A$68,0),MATCH(J$6,bs!$B$3:$X$3,0))</f>
        <v>0</v>
      </c>
      <c r="K14" s="56">
        <f>INDEX(bs!$B$4:$X$68,MATCH($B14,bs!$A$4:$A$68,0),MATCH(K$6,bs!$B$3:$X$3,0))</f>
        <v>0</v>
      </c>
      <c r="L14" s="56">
        <f>INDEX(bs!$B$4:$X$68,MATCH($B14,bs!$A$4:$A$68,0),MATCH(L$6,bs!$B$3:$X$3,0))</f>
        <v>0</v>
      </c>
      <c r="M14" s="56">
        <f>INDEX(bs!$B$4:$X$68,MATCH($B14,bs!$A$4:$A$68,0),MATCH(M$6,bs!$B$3:$X$3,0))</f>
        <v>0</v>
      </c>
      <c r="N14" s="56">
        <f>INDEX(bs!$B$4:$X$68,MATCH($B14,bs!$A$4:$A$68,0),MATCH(N$6,bs!$B$3:$X$3,0))</f>
        <v>0</v>
      </c>
      <c r="O14" s="56">
        <f>INDEX(bs!$B$4:$X$68,MATCH($B14,bs!$A$4:$A$68,0),MATCH(O$6,bs!$B$3:$X$3,0))</f>
        <v>0</v>
      </c>
      <c r="P14" s="56">
        <f>INDEX(bs!$B$4:$X$68,MATCH($B14,bs!$A$4:$A$68,0),MATCH(P$6,bs!$B$3:$X$3,0))</f>
        <v>0</v>
      </c>
      <c r="Q14" s="28">
        <f>O14</f>
        <v>0</v>
      </c>
      <c r="R14" s="28">
        <f t="shared" ref="R14:T15" si="26">Q14</f>
        <v>0</v>
      </c>
      <c r="S14" s="28">
        <f t="shared" si="26"/>
        <v>0</v>
      </c>
      <c r="T14" s="28">
        <f t="shared" si="26"/>
        <v>0</v>
      </c>
      <c r="U14" s="28">
        <f t="shared" ref="U14:U15" si="27">T14</f>
        <v>0</v>
      </c>
      <c r="V14" s="28">
        <f t="shared" ref="V14:W15" si="28">U14</f>
        <v>0</v>
      </c>
      <c r="W14" s="28">
        <f t="shared" si="28"/>
        <v>0</v>
      </c>
    </row>
    <row r="15" spans="1:23" x14ac:dyDescent="0.3">
      <c r="B15" s="1" t="s">
        <v>206</v>
      </c>
      <c r="E15" s="56">
        <f>INDEX(bs!$B$4:$X$68,MATCH($B15,bs!$A$4:$A$68,0),MATCH(E$6,bs!$B$3:$X$3,0))</f>
        <v>0.2</v>
      </c>
      <c r="F15" s="56">
        <f>INDEX(bs!$B$4:$X$68,MATCH($B15,bs!$A$4:$A$68,0),MATCH(F$6,bs!$B$3:$X$3,0))</f>
        <v>0</v>
      </c>
      <c r="G15" s="56">
        <f>INDEX(bs!$B$4:$X$68,MATCH($B15,bs!$A$4:$A$68,0),MATCH(G$6,bs!$B$3:$X$3,0))</f>
        <v>0.1</v>
      </c>
      <c r="H15" s="56">
        <f>INDEX(bs!$B$4:$X$68,MATCH($B15,bs!$A$4:$A$68,0),MATCH(H$6,bs!$B$3:$X$3,0))</f>
        <v>0.2</v>
      </c>
      <c r="I15" s="56">
        <f>INDEX(bs!$B$4:$X$68,MATCH($B15,bs!$A$4:$A$68,0),MATCH(I$6,bs!$B$3:$X$3,0))</f>
        <v>0</v>
      </c>
      <c r="J15" s="56">
        <f>INDEX(bs!$B$4:$X$68,MATCH($B15,bs!$A$4:$A$68,0),MATCH(J$6,bs!$B$3:$X$3,0))</f>
        <v>0</v>
      </c>
      <c r="K15" s="56">
        <f>INDEX(bs!$B$4:$X$68,MATCH($B15,bs!$A$4:$A$68,0),MATCH(K$6,bs!$B$3:$X$3,0))</f>
        <v>0.1</v>
      </c>
      <c r="L15" s="56">
        <f>INDEX(bs!$B$4:$X$68,MATCH($B15,bs!$A$4:$A$68,0),MATCH(L$6,bs!$B$3:$X$3,0))</f>
        <v>0</v>
      </c>
      <c r="M15" s="56">
        <f>INDEX(bs!$B$4:$X$68,MATCH($B15,bs!$A$4:$A$68,0),MATCH(M$6,bs!$B$3:$X$3,0))</f>
        <v>0.3</v>
      </c>
      <c r="N15" s="56">
        <f>INDEX(bs!$B$4:$X$68,MATCH($B15,bs!$A$4:$A$68,0),MATCH(N$6,bs!$B$3:$X$3,0))</f>
        <v>0.7</v>
      </c>
      <c r="O15" s="56">
        <f>INDEX(bs!$B$4:$X$68,MATCH($B15,bs!$A$4:$A$68,0),MATCH(O$6,bs!$B$3:$X$3,0))</f>
        <v>0</v>
      </c>
      <c r="P15" s="56">
        <f>INDEX(bs!$B$4:$X$68,MATCH($B15,bs!$A$4:$A$68,0),MATCH(P$6,bs!$B$3:$X$3,0))</f>
        <v>0</v>
      </c>
      <c r="Q15" s="28">
        <f>O15</f>
        <v>0</v>
      </c>
      <c r="R15" s="28">
        <f t="shared" si="26"/>
        <v>0</v>
      </c>
      <c r="S15" s="28">
        <f t="shared" si="26"/>
        <v>0</v>
      </c>
      <c r="T15" s="28">
        <f t="shared" si="26"/>
        <v>0</v>
      </c>
      <c r="U15" s="28">
        <f t="shared" si="27"/>
        <v>0</v>
      </c>
      <c r="V15" s="28">
        <f t="shared" si="28"/>
        <v>0</v>
      </c>
      <c r="W15" s="28">
        <f t="shared" si="28"/>
        <v>0</v>
      </c>
    </row>
    <row r="16" spans="1:23" ht="15" thickBot="1" x14ac:dyDescent="0.35">
      <c r="B16" s="17" t="s">
        <v>207</v>
      </c>
      <c r="C16" s="17"/>
      <c r="D16" s="17"/>
      <c r="E16" s="80">
        <f>INDEX(bs!$B$4:$X$68,MATCH($B16,bs!$A$4:$A$68,0),MATCH(E$6,bs!$B$3:$X$3,0))</f>
        <v>10.6</v>
      </c>
      <c r="F16" s="80">
        <f>INDEX(bs!$B$4:$X$68,MATCH($B16,bs!$A$4:$A$68,0),MATCH(F$6,bs!$B$3:$X$3,0))</f>
        <v>16.2</v>
      </c>
      <c r="G16" s="80">
        <f>INDEX(bs!$B$4:$X$68,MATCH($B16,bs!$A$4:$A$68,0),MATCH(G$6,bs!$B$3:$X$3,0))</f>
        <v>16.899999999999999</v>
      </c>
      <c r="H16" s="80">
        <f>INDEX(bs!$B$4:$X$68,MATCH($B16,bs!$A$4:$A$68,0),MATCH(H$6,bs!$B$3:$X$3,0))</f>
        <v>22.8</v>
      </c>
      <c r="I16" s="80">
        <f>INDEX(bs!$B$4:$X$68,MATCH($B16,bs!$A$4:$A$68,0),MATCH(I$6,bs!$B$3:$X$3,0))</f>
        <v>28.2</v>
      </c>
      <c r="J16" s="80">
        <f>INDEX(bs!$B$4:$X$68,MATCH($B16,bs!$A$4:$A$68,0),MATCH(J$6,bs!$B$3:$X$3,0))</f>
        <v>35.5</v>
      </c>
      <c r="K16" s="80">
        <f>INDEX(bs!$B$4:$X$68,MATCH($B16,bs!$A$4:$A$68,0),MATCH(K$6,bs!$B$3:$X$3,0))</f>
        <v>47.6</v>
      </c>
      <c r="L16" s="80">
        <f>INDEX(bs!$B$4:$X$68,MATCH($B16,bs!$A$4:$A$68,0),MATCH(L$6,bs!$B$3:$X$3,0))</f>
        <v>48.9</v>
      </c>
      <c r="M16" s="80">
        <f>INDEX(bs!$B$4:$X$68,MATCH($B16,bs!$A$4:$A$68,0),MATCH(M$6,bs!$B$3:$X$3,0))</f>
        <v>52.4</v>
      </c>
      <c r="N16" s="80">
        <f>INDEX(bs!$B$4:$X$68,MATCH($B16,bs!$A$4:$A$68,0),MATCH(N$6,bs!$B$3:$X$3,0))</f>
        <v>54.4</v>
      </c>
      <c r="O16" s="80">
        <f>INDEX(bs!$B$4:$X$68,MATCH($B16,bs!$A$4:$A$68,0),MATCH(O$6,bs!$B$3:$X$3,0))</f>
        <v>90</v>
      </c>
      <c r="P16" s="80">
        <f>INDEX(bs!$B$4:$X$68,MATCH($B16,bs!$A$4:$A$68,0),MATCH(P$6,bs!$B$3:$X$3,0))</f>
        <v>91.7</v>
      </c>
      <c r="Q16" s="81">
        <f t="shared" ref="Q16:T16" si="29">SUM(Q12:Q15)</f>
        <v>111.72612481346201</v>
      </c>
      <c r="R16" s="81">
        <f t="shared" si="29"/>
        <v>120.51484819911438</v>
      </c>
      <c r="S16" s="81">
        <f t="shared" si="29"/>
        <v>133.92450396207869</v>
      </c>
      <c r="T16" s="81">
        <f t="shared" si="29"/>
        <v>149.5734346900403</v>
      </c>
      <c r="U16" s="81">
        <f t="shared" ref="U16:V16" si="30">SUM(U12:U15)</f>
        <v>167.88075471084227</v>
      </c>
      <c r="V16" s="81">
        <f t="shared" si="30"/>
        <v>187.60164553619384</v>
      </c>
      <c r="W16" s="81">
        <f t="shared" ref="W16" si="31">SUM(W12:W15)</f>
        <v>208.23542505608927</v>
      </c>
    </row>
    <row r="17" spans="2:23" ht="15" thickTop="1" x14ac:dyDescent="0.3">
      <c r="B17" s="1" t="s">
        <v>208</v>
      </c>
      <c r="E17" s="56">
        <f>INDEX(bs!$B$4:$X$68,MATCH($B17,bs!$A$4:$A$68,0),MATCH(E$6,bs!$B$3:$X$3,0))</f>
        <v>0.4</v>
      </c>
      <c r="F17" s="56">
        <f>INDEX(bs!$B$4:$X$68,MATCH($B17,bs!$A$4:$A$68,0),MATCH(F$6,bs!$B$3:$X$3,0))</f>
        <v>0.4</v>
      </c>
      <c r="G17" s="56">
        <f>INDEX(bs!$B$4:$X$68,MATCH($B17,bs!$A$4:$A$68,0),MATCH(G$6,bs!$B$3:$X$3,0))</f>
        <v>0.4</v>
      </c>
      <c r="H17" s="56">
        <f>INDEX(bs!$B$4:$X$68,MATCH($B17,bs!$A$4:$A$68,0),MATCH(H$6,bs!$B$3:$X$3,0))</f>
        <v>0.4</v>
      </c>
      <c r="I17" s="56">
        <f>INDEX(bs!$B$4:$X$68,MATCH($B17,bs!$A$4:$A$68,0),MATCH(I$6,bs!$B$3:$X$3,0))</f>
        <v>0.4</v>
      </c>
      <c r="J17" s="56">
        <f>INDEX(bs!$B$4:$X$68,MATCH($B17,bs!$A$4:$A$68,0),MATCH(J$6,bs!$B$3:$X$3,0))</f>
        <v>0.4</v>
      </c>
      <c r="K17" s="56">
        <f>INDEX(bs!$B$4:$X$68,MATCH($B17,bs!$A$4:$A$68,0),MATCH(K$6,bs!$B$3:$X$3,0))</f>
        <v>0.4</v>
      </c>
      <c r="L17" s="56">
        <f>INDEX(bs!$B$4:$X$68,MATCH($B17,bs!$A$4:$A$68,0),MATCH(L$6,bs!$B$3:$X$3,0))</f>
        <v>5.3</v>
      </c>
      <c r="M17" s="56">
        <f>INDEX(bs!$B$4:$X$68,MATCH($B17,bs!$A$4:$A$68,0),MATCH(M$6,bs!$B$3:$X$3,0))</f>
        <v>7.9</v>
      </c>
      <c r="N17" s="56">
        <f>INDEX(bs!$B$4:$X$68,MATCH($B17,bs!$A$4:$A$68,0),MATCH(N$6,bs!$B$3:$X$3,0))</f>
        <v>10.1</v>
      </c>
      <c r="O17" s="56">
        <f>INDEX(bs!$B$4:$X$68,MATCH($B17,bs!$A$4:$A$68,0),MATCH(O$6,bs!$B$3:$X$3,0))</f>
        <v>13.7</v>
      </c>
      <c r="P17" s="56">
        <f>INDEX(bs!$B$4:$X$68,MATCH($B17,bs!$A$4:$A$68,0),MATCH(P$6,bs!$B$3:$X$3,0))</f>
        <v>16.399999999999999</v>
      </c>
      <c r="Q17" s="28">
        <f>O17</f>
        <v>13.7</v>
      </c>
      <c r="R17" s="28">
        <f t="shared" ref="R17:T18" si="32">Q17</f>
        <v>13.7</v>
      </c>
      <c r="S17" s="28">
        <f t="shared" si="32"/>
        <v>13.7</v>
      </c>
      <c r="T17" s="28">
        <f t="shared" si="32"/>
        <v>13.7</v>
      </c>
      <c r="U17" s="28">
        <f t="shared" ref="U17:U18" si="33">T17</f>
        <v>13.7</v>
      </c>
      <c r="V17" s="28">
        <f t="shared" ref="V17:W18" si="34">U17</f>
        <v>13.7</v>
      </c>
      <c r="W17" s="28">
        <f t="shared" si="34"/>
        <v>13.7</v>
      </c>
    </row>
    <row r="18" spans="2:23" x14ac:dyDescent="0.3">
      <c r="B18" s="1" t="s">
        <v>209</v>
      </c>
      <c r="E18" s="56">
        <f>INDEX(bs!$B$4:$X$68,MATCH($B18,bs!$A$4:$A$68,0),MATCH(E$6,bs!$B$3:$X$3,0))</f>
        <v>1.8</v>
      </c>
      <c r="F18" s="56">
        <f>INDEX(bs!$B$4:$X$68,MATCH($B18,bs!$A$4:$A$68,0),MATCH(F$6,bs!$B$3:$X$3,0))</f>
        <v>2.2000000000000002</v>
      </c>
      <c r="G18" s="56">
        <f>INDEX(bs!$B$4:$X$68,MATCH($B18,bs!$A$4:$A$68,0),MATCH(G$6,bs!$B$3:$X$3,0))</f>
        <v>2.6</v>
      </c>
      <c r="H18" s="56">
        <f>INDEX(bs!$B$4:$X$68,MATCH($B18,bs!$A$4:$A$68,0),MATCH(H$6,bs!$B$3:$X$3,0))</f>
        <v>3.5</v>
      </c>
      <c r="I18" s="56">
        <f>INDEX(bs!$B$4:$X$68,MATCH($B18,bs!$A$4:$A$68,0),MATCH(I$6,bs!$B$3:$X$3,0))</f>
        <v>4.4000000000000004</v>
      </c>
      <c r="J18" s="56">
        <f>INDEX(bs!$B$4:$X$68,MATCH($B18,bs!$A$4:$A$68,0),MATCH(J$6,bs!$B$3:$X$3,0))</f>
        <v>4.5</v>
      </c>
      <c r="K18" s="56">
        <f>INDEX(bs!$B$4:$X$68,MATCH($B18,bs!$A$4:$A$68,0),MATCH(K$6,bs!$B$3:$X$3,0))</f>
        <v>5.6</v>
      </c>
      <c r="L18" s="56">
        <f>INDEX(bs!$B$4:$X$68,MATCH($B18,bs!$A$4:$A$68,0),MATCH(L$6,bs!$B$3:$X$3,0))</f>
        <v>18.8</v>
      </c>
      <c r="M18" s="56">
        <f>INDEX(bs!$B$4:$X$68,MATCH($B18,bs!$A$4:$A$68,0),MATCH(M$6,bs!$B$3:$X$3,0))</f>
        <v>40.4</v>
      </c>
      <c r="N18" s="56">
        <f>INDEX(bs!$B$4:$X$68,MATCH($B18,bs!$A$4:$A$68,0),MATCH(N$6,bs!$B$3:$X$3,0))</f>
        <v>49.1</v>
      </c>
      <c r="O18" s="56">
        <f>INDEX(bs!$B$4:$X$68,MATCH($B18,bs!$A$4:$A$68,0),MATCH(O$6,bs!$B$3:$X$3,0))</f>
        <v>62</v>
      </c>
      <c r="P18" s="56">
        <f>INDEX(bs!$B$4:$X$68,MATCH($B18,bs!$A$4:$A$68,0),MATCH(P$6,bs!$B$3:$X$3,0))</f>
        <v>67.900000000000006</v>
      </c>
      <c r="Q18" s="28">
        <f>O18</f>
        <v>62</v>
      </c>
      <c r="R18" s="28">
        <f t="shared" si="32"/>
        <v>62</v>
      </c>
      <c r="S18" s="28">
        <f t="shared" si="32"/>
        <v>62</v>
      </c>
      <c r="T18" s="28">
        <f t="shared" si="32"/>
        <v>62</v>
      </c>
      <c r="U18" s="28">
        <f t="shared" si="33"/>
        <v>62</v>
      </c>
      <c r="V18" s="28">
        <f t="shared" si="34"/>
        <v>62</v>
      </c>
      <c r="W18" s="28">
        <f t="shared" si="34"/>
        <v>62</v>
      </c>
    </row>
    <row r="19" spans="2:23" x14ac:dyDescent="0.3">
      <c r="B19" s="1" t="s">
        <v>211</v>
      </c>
      <c r="E19" s="56">
        <f>INDEX(bs!$B$4:$X$68,MATCH($B19,bs!$A$4:$A$68,0),MATCH(E$6,bs!$B$3:$X$3,0))</f>
        <v>0.5</v>
      </c>
      <c r="F19" s="56">
        <f>INDEX(bs!$B$4:$X$68,MATCH($B19,bs!$A$4:$A$68,0),MATCH(F$6,bs!$B$3:$X$3,0))</f>
        <v>0.6</v>
      </c>
      <c r="G19" s="56">
        <f>INDEX(bs!$B$4:$X$68,MATCH($B19,bs!$A$4:$A$68,0),MATCH(G$6,bs!$B$3:$X$3,0))</f>
        <v>0.9</v>
      </c>
      <c r="H19" s="56">
        <f>INDEX(bs!$B$4:$X$68,MATCH($B19,bs!$A$4:$A$68,0),MATCH(H$6,bs!$B$3:$X$3,0))</f>
        <v>1.3</v>
      </c>
      <c r="I19" s="56">
        <f>INDEX(bs!$B$4:$X$68,MATCH($B19,bs!$A$4:$A$68,0),MATCH(I$6,bs!$B$3:$X$3,0))</f>
        <v>1.6</v>
      </c>
      <c r="J19" s="56">
        <f>INDEX(bs!$B$4:$X$68,MATCH($B19,bs!$A$4:$A$68,0),MATCH(J$6,bs!$B$3:$X$3,0))</f>
        <v>1.4</v>
      </c>
      <c r="K19" s="56">
        <f>INDEX(bs!$B$4:$X$68,MATCH($B19,bs!$A$4:$A$68,0),MATCH(K$6,bs!$B$3:$X$3,0))</f>
        <v>1.3</v>
      </c>
      <c r="L19" s="56">
        <f>INDEX(bs!$B$4:$X$68,MATCH($B19,bs!$A$4:$A$68,0),MATCH(L$6,bs!$B$3:$X$3,0))</f>
        <v>1.6</v>
      </c>
      <c r="M19" s="56">
        <f>INDEX(bs!$B$4:$X$68,MATCH($B19,bs!$A$4:$A$68,0),MATCH(M$6,bs!$B$3:$X$3,0))</f>
        <v>4.0999999999999996</v>
      </c>
      <c r="N19" s="56">
        <f>INDEX(bs!$B$4:$X$68,MATCH($B19,bs!$A$4:$A$68,0),MATCH(N$6,bs!$B$3:$X$3,0))</f>
        <v>3.6</v>
      </c>
      <c r="O19" s="56">
        <f>INDEX(bs!$B$4:$X$68,MATCH($B19,bs!$A$4:$A$68,0),MATCH(O$6,bs!$B$3:$X$3,0))</f>
        <v>10.9</v>
      </c>
      <c r="P19" s="56">
        <f>INDEX(bs!$B$4:$X$68,MATCH($B19,bs!$A$4:$A$68,0),MATCH(P$6,bs!$B$3:$X$3,0))</f>
        <v>10.9</v>
      </c>
      <c r="Q19" s="28">
        <f>O19+Q56-Q79</f>
        <v>10.035958438698806</v>
      </c>
      <c r="R19" s="28">
        <f>Q19+R56-R79</f>
        <v>9.055453784945076</v>
      </c>
      <c r="S19" s="28">
        <f>R19+S56-S79</f>
        <v>9.3831877825775774</v>
      </c>
      <c r="T19" s="28">
        <f>S19+T56-T79</f>
        <v>10.747815384545479</v>
      </c>
      <c r="U19" s="28">
        <f t="shared" ref="U19" si="35">T19+U56-U79</f>
        <v>12.865469108839449</v>
      </c>
      <c r="V19" s="28">
        <f t="shared" ref="V19:W19" si="36">U19+V56-V79</f>
        <v>15.443102826780505</v>
      </c>
      <c r="W19" s="28">
        <f t="shared" si="36"/>
        <v>18.185617455870691</v>
      </c>
    </row>
    <row r="20" spans="2:23" x14ac:dyDescent="0.3">
      <c r="B20" s="1" t="s">
        <v>212</v>
      </c>
      <c r="E20" s="56">
        <f>INDEX(bs!$B$4:$X$68,MATCH($B20,bs!$A$4:$A$68,0),MATCH(E$6,bs!$B$3:$X$3,0))</f>
        <v>0</v>
      </c>
      <c r="F20" s="56">
        <f>INDEX(bs!$B$4:$X$68,MATCH($B20,bs!$A$4:$A$68,0),MATCH(F$6,bs!$B$3:$X$3,0))</f>
        <v>0</v>
      </c>
      <c r="G20" s="56">
        <f>INDEX(bs!$B$4:$X$68,MATCH($B20,bs!$A$4:$A$68,0),MATCH(G$6,bs!$B$3:$X$3,0))</f>
        <v>0</v>
      </c>
      <c r="H20" s="56">
        <f>INDEX(bs!$B$4:$X$68,MATCH($B20,bs!$A$4:$A$68,0),MATCH(H$6,bs!$B$3:$X$3,0))</f>
        <v>0</v>
      </c>
      <c r="I20" s="56">
        <f>INDEX(bs!$B$4:$X$68,MATCH($B20,bs!$A$4:$A$68,0),MATCH(I$6,bs!$B$3:$X$3,0))</f>
        <v>0</v>
      </c>
      <c r="J20" s="56">
        <f>INDEX(bs!$B$4:$X$68,MATCH($B20,bs!$A$4:$A$68,0),MATCH(J$6,bs!$B$3:$X$3,0))</f>
        <v>0</v>
      </c>
      <c r="K20" s="56">
        <f>INDEX(bs!$B$4:$X$68,MATCH($B20,bs!$A$4:$A$68,0),MATCH(K$6,bs!$B$3:$X$3,0))</f>
        <v>0</v>
      </c>
      <c r="L20" s="56">
        <f>INDEX(bs!$B$4:$X$68,MATCH($B20,bs!$A$4:$A$68,0),MATCH(L$6,bs!$B$3:$X$3,0))</f>
        <v>0</v>
      </c>
      <c r="M20" s="56">
        <f>INDEX(bs!$B$4:$X$68,MATCH($B20,bs!$A$4:$A$68,0),MATCH(M$6,bs!$B$3:$X$3,0))</f>
        <v>0</v>
      </c>
      <c r="N20" s="56">
        <f>INDEX(bs!$B$4:$X$68,MATCH($B20,bs!$A$4:$A$68,0),MATCH(N$6,bs!$B$3:$X$3,0))</f>
        <v>0</v>
      </c>
      <c r="O20" s="56">
        <f>INDEX(bs!$B$4:$X$68,MATCH($B20,bs!$A$4:$A$68,0),MATCH(O$6,bs!$B$3:$X$3,0))</f>
        <v>0</v>
      </c>
      <c r="P20" s="56">
        <f>INDEX(bs!$B$4:$X$68,MATCH($B20,bs!$A$4:$A$68,0),MATCH(P$6,bs!$B$3:$X$3,0))</f>
        <v>0</v>
      </c>
      <c r="Q20" s="28">
        <f>O20</f>
        <v>0</v>
      </c>
      <c r="R20" s="28">
        <f t="shared" ref="R20:T20" si="37">Q20</f>
        <v>0</v>
      </c>
      <c r="S20" s="28">
        <f t="shared" si="37"/>
        <v>0</v>
      </c>
      <c r="T20" s="28">
        <f t="shared" si="37"/>
        <v>0</v>
      </c>
      <c r="U20" s="28">
        <f t="shared" ref="U20:U21" si="38">T20</f>
        <v>0</v>
      </c>
      <c r="V20" s="28">
        <f t="shared" ref="V20:W21" si="39">U20</f>
        <v>0</v>
      </c>
      <c r="W20" s="28">
        <f t="shared" si="39"/>
        <v>0</v>
      </c>
    </row>
    <row r="21" spans="2:23" x14ac:dyDescent="0.3">
      <c r="B21" s="1" t="s">
        <v>213</v>
      </c>
      <c r="E21" s="56">
        <f>INDEX(bs!$B$4:$X$68,MATCH($B21,bs!$A$4:$A$68,0),MATCH(E$6,bs!$B$3:$X$3,0))</f>
        <v>0.1</v>
      </c>
      <c r="F21" s="56">
        <f>INDEX(bs!$B$4:$X$68,MATCH($B21,bs!$A$4:$A$68,0),MATCH(F$6,bs!$B$3:$X$3,0))</f>
        <v>0.1</v>
      </c>
      <c r="G21" s="56">
        <f>INDEX(bs!$B$4:$X$68,MATCH($B21,bs!$A$4:$A$68,0),MATCH(G$6,bs!$B$3:$X$3,0))</f>
        <v>0</v>
      </c>
      <c r="H21" s="56">
        <f>INDEX(bs!$B$4:$X$68,MATCH($B21,bs!$A$4:$A$68,0),MATCH(H$6,bs!$B$3:$X$3,0))</f>
        <v>0</v>
      </c>
      <c r="I21" s="56">
        <f>INDEX(bs!$B$4:$X$68,MATCH($B21,bs!$A$4:$A$68,0),MATCH(I$6,bs!$B$3:$X$3,0))</f>
        <v>0</v>
      </c>
      <c r="J21" s="56">
        <f>INDEX(bs!$B$4:$X$68,MATCH($B21,bs!$A$4:$A$68,0),MATCH(J$6,bs!$B$3:$X$3,0))</f>
        <v>0</v>
      </c>
      <c r="K21" s="56">
        <f>INDEX(bs!$B$4:$X$68,MATCH($B21,bs!$A$4:$A$68,0),MATCH(K$6,bs!$B$3:$X$3,0))</f>
        <v>0</v>
      </c>
      <c r="L21" s="56">
        <f>INDEX(bs!$B$4:$X$68,MATCH($B21,bs!$A$4:$A$68,0),MATCH(L$6,bs!$B$3:$X$3,0))</f>
        <v>0</v>
      </c>
      <c r="M21" s="56">
        <f>INDEX(bs!$B$4:$X$68,MATCH($B21,bs!$A$4:$A$68,0),MATCH(M$6,bs!$B$3:$X$3,0))</f>
        <v>0</v>
      </c>
      <c r="N21" s="56">
        <f>INDEX(bs!$B$4:$X$68,MATCH($B21,bs!$A$4:$A$68,0),MATCH(N$6,bs!$B$3:$X$3,0))</f>
        <v>0</v>
      </c>
      <c r="O21" s="56">
        <f>INDEX(bs!$B$4:$X$68,MATCH($B21,bs!$A$4:$A$68,0),MATCH(O$6,bs!$B$3:$X$3,0))</f>
        <v>0.9</v>
      </c>
      <c r="P21" s="56">
        <f>INDEX(bs!$B$4:$X$68,MATCH($B21,bs!$A$4:$A$68,0),MATCH(P$6,bs!$B$3:$X$3,0))</f>
        <v>0</v>
      </c>
      <c r="Q21" s="28">
        <f>O21</f>
        <v>0.9</v>
      </c>
      <c r="R21" s="28">
        <f t="shared" ref="R21:T21" si="40">Q21</f>
        <v>0.9</v>
      </c>
      <c r="S21" s="28">
        <f t="shared" si="40"/>
        <v>0.9</v>
      </c>
      <c r="T21" s="28">
        <f t="shared" si="40"/>
        <v>0.9</v>
      </c>
      <c r="U21" s="28">
        <f t="shared" si="38"/>
        <v>0.9</v>
      </c>
      <c r="V21" s="28">
        <f t="shared" si="39"/>
        <v>0.9</v>
      </c>
      <c r="W21" s="28">
        <f t="shared" si="39"/>
        <v>0.9</v>
      </c>
    </row>
    <row r="22" spans="2:23" ht="15" thickBot="1" x14ac:dyDescent="0.35">
      <c r="B22" s="17" t="s">
        <v>17</v>
      </c>
      <c r="C22" s="17"/>
      <c r="D22" s="17"/>
      <c r="E22" s="80">
        <f t="shared" ref="E22:L22" si="41">SUM(E16:E21)</f>
        <v>13.4</v>
      </c>
      <c r="F22" s="80">
        <f t="shared" si="41"/>
        <v>19.5</v>
      </c>
      <c r="G22" s="80">
        <f t="shared" si="41"/>
        <v>20.799999999999997</v>
      </c>
      <c r="H22" s="80">
        <f t="shared" si="41"/>
        <v>28</v>
      </c>
      <c r="I22" s="80">
        <f t="shared" si="41"/>
        <v>34.6</v>
      </c>
      <c r="J22" s="80">
        <f t="shared" si="41"/>
        <v>41.8</v>
      </c>
      <c r="K22" s="80">
        <f t="shared" si="41"/>
        <v>54.9</v>
      </c>
      <c r="L22" s="80">
        <f t="shared" si="41"/>
        <v>74.599999999999994</v>
      </c>
      <c r="M22" s="80">
        <f t="shared" ref="M22:O22" si="42">SUM(M16:M21)</f>
        <v>104.79999999999998</v>
      </c>
      <c r="N22" s="80">
        <f t="shared" si="42"/>
        <v>117.19999999999999</v>
      </c>
      <c r="O22" s="80">
        <f t="shared" si="42"/>
        <v>177.5</v>
      </c>
      <c r="P22" s="80">
        <f t="shared" ref="P22" si="43">SUM(P16:P21)</f>
        <v>186.9</v>
      </c>
      <c r="Q22" s="81">
        <f t="shared" ref="Q22:T22" si="44">SUM(Q16:Q21)</f>
        <v>198.36208325216083</v>
      </c>
      <c r="R22" s="81">
        <f t="shared" si="44"/>
        <v>206.17030198405948</v>
      </c>
      <c r="S22" s="81">
        <f t="shared" si="44"/>
        <v>219.90769174465626</v>
      </c>
      <c r="T22" s="81">
        <f t="shared" si="44"/>
        <v>236.92125007458577</v>
      </c>
      <c r="U22" s="81">
        <f t="shared" ref="U22:V22" si="45">SUM(U16:U21)</f>
        <v>257.34622381968165</v>
      </c>
      <c r="V22" s="81">
        <f t="shared" si="45"/>
        <v>279.64474836297433</v>
      </c>
      <c r="W22" s="81">
        <f t="shared" ref="W22" si="46">SUM(W16:W21)</f>
        <v>303.02104251195988</v>
      </c>
    </row>
    <row r="23" spans="2:23" ht="15" thickTop="1" x14ac:dyDescent="0.3"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8"/>
      <c r="R23" s="28"/>
      <c r="S23" s="28"/>
      <c r="T23" s="28"/>
      <c r="U23" s="28"/>
      <c r="V23" s="28"/>
      <c r="W23" s="28"/>
    </row>
    <row r="24" spans="2:23" x14ac:dyDescent="0.3">
      <c r="B24" s="1" t="s">
        <v>19</v>
      </c>
      <c r="E24" s="56">
        <f>E27-E25-E26</f>
        <v>4.3</v>
      </c>
      <c r="F24" s="56">
        <f t="shared" ref="F24:L24" si="47">F27-F25-F26</f>
        <v>6.3</v>
      </c>
      <c r="G24" s="56">
        <f t="shared" si="47"/>
        <v>6.6999999999999993</v>
      </c>
      <c r="H24" s="56">
        <f t="shared" si="47"/>
        <v>8.2000000000000011</v>
      </c>
      <c r="I24" s="56">
        <f t="shared" si="47"/>
        <v>9.5</v>
      </c>
      <c r="J24" s="56">
        <f t="shared" si="47"/>
        <v>7.9999999999999991</v>
      </c>
      <c r="K24" s="56">
        <f t="shared" si="47"/>
        <v>10.4</v>
      </c>
      <c r="L24" s="56">
        <f t="shared" si="47"/>
        <v>15.299999999999999</v>
      </c>
      <c r="M24" s="56">
        <f t="shared" ref="M24:O24" si="48">M27-M25-M26</f>
        <v>24.2</v>
      </c>
      <c r="N24" s="56">
        <f t="shared" si="48"/>
        <v>24.3</v>
      </c>
      <c r="O24" s="56">
        <f t="shared" si="48"/>
        <v>37.400000000000006</v>
      </c>
      <c r="P24" s="56">
        <f t="shared" ref="P24" si="49">P27-P25-P26</f>
        <v>29.3</v>
      </c>
      <c r="Q24" s="28">
        <f>-Q53*summary!Q33/365</f>
        <v>41.810377358490584</v>
      </c>
      <c r="R24" s="28">
        <f>-R53*summary!R33/365</f>
        <v>41.810377358490584</v>
      </c>
      <c r="S24" s="28">
        <f>-S53*summary!S33/365</f>
        <v>42.7545733143427</v>
      </c>
      <c r="T24" s="28">
        <f>-T53*summary!T33/365</f>
        <v>43.67074274250718</v>
      </c>
      <c r="U24" s="28">
        <f>-U53*summary!U33/365</f>
        <v>43.536371226376389</v>
      </c>
      <c r="V24" s="28">
        <f>-V53*summary!V33/365</f>
        <v>42.302840708295726</v>
      </c>
      <c r="W24" s="28">
        <f>-W53*summary!W33/365</f>
        <v>43.994954336627558</v>
      </c>
    </row>
    <row r="25" spans="2:23" x14ac:dyDescent="0.3">
      <c r="B25" s="1" t="s">
        <v>40</v>
      </c>
      <c r="E25" s="56">
        <f>INDEX(bs!$B$4:$X$68,MATCH($B25,bs!$A$4:$A$68,0),MATCH(E$6,bs!$B$3:$X$3,0))</f>
        <v>0.2</v>
      </c>
      <c r="F25" s="56">
        <f>INDEX(bs!$B$4:$X$68,MATCH($B25,bs!$A$4:$A$68,0),MATCH(F$6,bs!$B$3:$X$3,0))</f>
        <v>0.5</v>
      </c>
      <c r="G25" s="56">
        <f>INDEX(bs!$B$4:$X$68,MATCH($B25,bs!$A$4:$A$68,0),MATCH(G$6,bs!$B$3:$X$3,0))</f>
        <v>0.4</v>
      </c>
      <c r="H25" s="56">
        <f>INDEX(bs!$B$4:$X$68,MATCH($B25,bs!$A$4:$A$68,0),MATCH(H$6,bs!$B$3:$X$3,0))</f>
        <v>0.6</v>
      </c>
      <c r="I25" s="56">
        <f>INDEX(bs!$B$4:$X$68,MATCH($B25,bs!$A$4:$A$68,0),MATCH(I$6,bs!$B$3:$X$3,0))</f>
        <v>0.9</v>
      </c>
      <c r="J25" s="56">
        <f>INDEX(bs!$B$4:$X$68,MATCH($B25,bs!$A$4:$A$68,0),MATCH(J$6,bs!$B$3:$X$3,0))</f>
        <v>0.7</v>
      </c>
      <c r="K25" s="56">
        <f>INDEX(bs!$B$4:$X$68,MATCH($B25,bs!$A$4:$A$68,0),MATCH(K$6,bs!$B$3:$X$3,0))</f>
        <v>0.7</v>
      </c>
      <c r="L25" s="56">
        <f>INDEX(bs!$B$4:$X$68,MATCH($B25,bs!$A$4:$A$68,0),MATCH(L$6,bs!$B$3:$X$3,0))</f>
        <v>1</v>
      </c>
      <c r="M25" s="56">
        <f>INDEX(bs!$B$4:$X$68,MATCH($B25,bs!$A$4:$A$68,0),MATCH(M$6,bs!$B$3:$X$3,0))</f>
        <v>0.8</v>
      </c>
      <c r="N25" s="56">
        <f>INDEX(bs!$B$4:$X$68,MATCH($B25,bs!$A$4:$A$68,0),MATCH(N$6,bs!$B$3:$X$3,0))</f>
        <v>0.4</v>
      </c>
      <c r="O25" s="56">
        <f>INDEX(bs!$B$4:$X$68,MATCH($B25,bs!$A$4:$A$68,0),MATCH(O$6,bs!$B$3:$X$3,0))</f>
        <v>2.1</v>
      </c>
      <c r="P25" s="56">
        <f>INDEX(bs!$B$4:$X$68,MATCH($B25,bs!$A$4:$A$68,0),MATCH(P$6,bs!$B$3:$X$3,0))</f>
        <v>1</v>
      </c>
      <c r="Q25" s="28">
        <f>O25</f>
        <v>2.1</v>
      </c>
      <c r="R25" s="28">
        <f t="shared" ref="R25:T25" si="50">Q25</f>
        <v>2.1</v>
      </c>
      <c r="S25" s="28">
        <f t="shared" si="50"/>
        <v>2.1</v>
      </c>
      <c r="T25" s="28">
        <f t="shared" si="50"/>
        <v>2.1</v>
      </c>
      <c r="U25" s="28">
        <f t="shared" ref="U25" si="51">T25</f>
        <v>2.1</v>
      </c>
      <c r="V25" s="28">
        <f t="shared" ref="V25:W25" si="52">U25</f>
        <v>2.1</v>
      </c>
      <c r="W25" s="28">
        <f t="shared" si="52"/>
        <v>2.1</v>
      </c>
    </row>
    <row r="26" spans="2:23" x14ac:dyDescent="0.3">
      <c r="B26" s="1" t="s">
        <v>216</v>
      </c>
      <c r="E26" s="56">
        <f>INDEX(bs!$B$4:$X$68,MATCH($B26,bs!$A$4:$A$68,0),MATCH(E$6,bs!$B$3:$X$3,0))</f>
        <v>0</v>
      </c>
      <c r="F26" s="56">
        <f>INDEX(bs!$B$4:$X$68,MATCH($B26,bs!$A$4:$A$68,0),MATCH(F$6,bs!$B$3:$X$3,0))</f>
        <v>0</v>
      </c>
      <c r="G26" s="56">
        <f>INDEX(bs!$B$4:$X$68,MATCH($B26,bs!$A$4:$A$68,0),MATCH(G$6,bs!$B$3:$X$3,0))</f>
        <v>0</v>
      </c>
      <c r="H26" s="56">
        <f>INDEX(bs!$B$4:$X$68,MATCH($B26,bs!$A$4:$A$68,0),MATCH(H$6,bs!$B$3:$X$3,0))</f>
        <v>0</v>
      </c>
      <c r="I26" s="56">
        <f>INDEX(bs!$B$4:$X$68,MATCH($B26,bs!$A$4:$A$68,0),MATCH(I$6,bs!$B$3:$X$3,0))</f>
        <v>0</v>
      </c>
      <c r="J26" s="56">
        <f>INDEX(bs!$B$4:$X$68,MATCH($B26,bs!$A$4:$A$68,0),MATCH(J$6,bs!$B$3:$X$3,0))</f>
        <v>0</v>
      </c>
      <c r="K26" s="56">
        <f>INDEX(bs!$B$4:$X$68,MATCH($B26,bs!$A$4:$A$68,0),MATCH(K$6,bs!$B$3:$X$3,0))</f>
        <v>0</v>
      </c>
      <c r="L26" s="56">
        <f>INDEX(bs!$B$4:$X$68,MATCH($B26,bs!$A$4:$A$68,0),MATCH(L$6,bs!$B$3:$X$3,0))</f>
        <v>0.6</v>
      </c>
      <c r="M26" s="56">
        <f>INDEX(bs!$B$4:$X$68,MATCH($B26,bs!$A$4:$A$68,0),MATCH(M$6,bs!$B$3:$X$3,0))</f>
        <v>1</v>
      </c>
      <c r="N26" s="56">
        <f>INDEX(bs!$B$4:$X$68,MATCH($B26,bs!$A$4:$A$68,0),MATCH(N$6,bs!$B$3:$X$3,0))</f>
        <v>0.8</v>
      </c>
      <c r="O26" s="56">
        <f>INDEX(bs!$B$4:$X$68,MATCH($B26,bs!$A$4:$A$68,0),MATCH(O$6,bs!$B$3:$X$3,0))</f>
        <v>14.7</v>
      </c>
      <c r="P26" s="56">
        <f>INDEX(bs!$B$4:$X$68,MATCH($B26,bs!$A$4:$A$68,0),MATCH(P$6,bs!$B$3:$X$3,0))</f>
        <v>26.8</v>
      </c>
      <c r="Q26" s="28"/>
      <c r="R26" s="28"/>
      <c r="S26" s="28"/>
      <c r="T26" s="28"/>
      <c r="U26" s="28"/>
      <c r="V26" s="28"/>
      <c r="W26" s="28"/>
    </row>
    <row r="27" spans="2:23" ht="15" thickBot="1" x14ac:dyDescent="0.35">
      <c r="B27" s="17" t="s">
        <v>219</v>
      </c>
      <c r="C27" s="17"/>
      <c r="D27" s="17"/>
      <c r="E27" s="80">
        <f>INDEX(bs!$B$4:$X$68,MATCH($B27,bs!$A$4:$A$68,0),MATCH(E$6,bs!$B$3:$X$3,0))</f>
        <v>4.5</v>
      </c>
      <c r="F27" s="80">
        <f>INDEX(bs!$B$4:$X$68,MATCH($B27,bs!$A$4:$A$68,0),MATCH(F$6,bs!$B$3:$X$3,0))</f>
        <v>6.8</v>
      </c>
      <c r="G27" s="80">
        <f>INDEX(bs!$B$4:$X$68,MATCH($B27,bs!$A$4:$A$68,0),MATCH(G$6,bs!$B$3:$X$3,0))</f>
        <v>7.1</v>
      </c>
      <c r="H27" s="80">
        <f>INDEX(bs!$B$4:$X$68,MATCH($B27,bs!$A$4:$A$68,0),MATCH(H$6,bs!$B$3:$X$3,0))</f>
        <v>8.8000000000000007</v>
      </c>
      <c r="I27" s="80">
        <f>INDEX(bs!$B$4:$X$68,MATCH($B27,bs!$A$4:$A$68,0),MATCH(I$6,bs!$B$3:$X$3,0))</f>
        <v>10.4</v>
      </c>
      <c r="J27" s="80">
        <f>INDEX(bs!$B$4:$X$68,MATCH($B27,bs!$A$4:$A$68,0),MATCH(J$6,bs!$B$3:$X$3,0))</f>
        <v>8.6999999999999993</v>
      </c>
      <c r="K27" s="80">
        <f>INDEX(bs!$B$4:$X$68,MATCH($B27,bs!$A$4:$A$68,0),MATCH(K$6,bs!$B$3:$X$3,0))</f>
        <v>11.1</v>
      </c>
      <c r="L27" s="80">
        <f>INDEX(bs!$B$4:$X$68,MATCH($B27,bs!$A$4:$A$68,0),MATCH(L$6,bs!$B$3:$X$3,0))</f>
        <v>16.899999999999999</v>
      </c>
      <c r="M27" s="80">
        <f>INDEX(bs!$B$4:$X$68,MATCH($B27,bs!$A$4:$A$68,0),MATCH(M$6,bs!$B$3:$X$3,0))</f>
        <v>26</v>
      </c>
      <c r="N27" s="80">
        <f>INDEX(bs!$B$4:$X$68,MATCH($B27,bs!$A$4:$A$68,0),MATCH(N$6,bs!$B$3:$X$3,0))</f>
        <v>25.5</v>
      </c>
      <c r="O27" s="80">
        <f>INDEX(bs!$B$4:$X$68,MATCH($B27,bs!$A$4:$A$68,0),MATCH(O$6,bs!$B$3:$X$3,0))</f>
        <v>54.2</v>
      </c>
      <c r="P27" s="80">
        <f>INDEX(bs!$B$4:$X$68,MATCH($B27,bs!$A$4:$A$68,0),MATCH(P$6,bs!$B$3:$X$3,0))</f>
        <v>57.1</v>
      </c>
      <c r="Q27" s="81">
        <f t="shared" ref="Q27:T27" si="53">SUM(Q24:Q26)</f>
        <v>43.910377358490585</v>
      </c>
      <c r="R27" s="81">
        <f t="shared" si="53"/>
        <v>43.910377358490585</v>
      </c>
      <c r="S27" s="81">
        <f t="shared" si="53"/>
        <v>44.854573314342701</v>
      </c>
      <c r="T27" s="81">
        <f t="shared" si="53"/>
        <v>45.770742742507181</v>
      </c>
      <c r="U27" s="81">
        <f t="shared" ref="U27:V27" si="54">SUM(U24:U26)</f>
        <v>45.63637122637639</v>
      </c>
      <c r="V27" s="81">
        <f t="shared" si="54"/>
        <v>44.402840708295727</v>
      </c>
      <c r="W27" s="81">
        <f t="shared" ref="W27" si="55">SUM(W24:W26)</f>
        <v>46.094954336627559</v>
      </c>
    </row>
    <row r="28" spans="2:23" ht="15" thickTop="1" x14ac:dyDescent="0.3">
      <c r="B28" s="1" t="s">
        <v>220</v>
      </c>
      <c r="E28" s="56">
        <f>INDEX(bs!$B$4:$X$68,MATCH($B28,bs!$A$4:$A$68,0),MATCH(E$6,bs!$B$3:$X$3,0))</f>
        <v>0</v>
      </c>
      <c r="F28" s="56">
        <f>INDEX(bs!$B$4:$X$68,MATCH($B28,bs!$A$4:$A$68,0),MATCH(F$6,bs!$B$3:$X$3,0))</f>
        <v>0</v>
      </c>
      <c r="G28" s="56">
        <f>INDEX(bs!$B$4:$X$68,MATCH($B28,bs!$A$4:$A$68,0),MATCH(G$6,bs!$B$3:$X$3,0))</f>
        <v>0</v>
      </c>
      <c r="H28" s="56">
        <f>INDEX(bs!$B$4:$X$68,MATCH($B28,bs!$A$4:$A$68,0),MATCH(H$6,bs!$B$3:$X$3,0))</f>
        <v>0</v>
      </c>
      <c r="I28" s="56">
        <f>INDEX(bs!$B$4:$X$68,MATCH($B28,bs!$A$4:$A$68,0),MATCH(I$6,bs!$B$3:$X$3,0))</f>
        <v>0</v>
      </c>
      <c r="J28" s="56">
        <f>INDEX(bs!$B$4:$X$68,MATCH($B28,bs!$A$4:$A$68,0),MATCH(J$6,bs!$B$3:$X$3,0))</f>
        <v>0</v>
      </c>
      <c r="K28" s="56">
        <f>INDEX(bs!$B$4:$X$68,MATCH($B28,bs!$A$4:$A$68,0),MATCH(K$6,bs!$B$3:$X$3,0))</f>
        <v>0</v>
      </c>
      <c r="L28" s="56">
        <f>INDEX(bs!$B$4:$X$68,MATCH($B28,bs!$A$4:$A$68,0),MATCH(L$6,bs!$B$3:$X$3,0))</f>
        <v>0</v>
      </c>
      <c r="M28" s="56">
        <f>INDEX(bs!$B$4:$X$68,MATCH($B28,bs!$A$4:$A$68,0),MATCH(M$6,bs!$B$3:$X$3,0))</f>
        <v>12.5</v>
      </c>
      <c r="N28" s="56">
        <f>INDEX(bs!$B$4:$X$68,MATCH($B28,bs!$A$4:$A$68,0),MATCH(N$6,bs!$B$3:$X$3,0))</f>
        <v>0.3</v>
      </c>
      <c r="O28" s="56">
        <f>INDEX(bs!$B$4:$X$68,MATCH($B28,bs!$A$4:$A$68,0),MATCH(O$6,bs!$B$3:$X$3,0))</f>
        <v>8.8000000000000007</v>
      </c>
      <c r="P28" s="56">
        <f>INDEX(bs!$B$4:$X$68,MATCH($B28,bs!$A$4:$A$68,0),MATCH(P$6,bs!$B$3:$X$3,0))</f>
        <v>0</v>
      </c>
      <c r="Q28" s="28">
        <f>summary!Q34</f>
        <v>26.8</v>
      </c>
      <c r="R28" s="28">
        <f>summary!R34</f>
        <v>26.8</v>
      </c>
      <c r="S28" s="28">
        <f>summary!S34</f>
        <v>26.8</v>
      </c>
      <c r="T28" s="28">
        <f>summary!T34</f>
        <v>26.8</v>
      </c>
      <c r="U28" s="28">
        <f>summary!U34</f>
        <v>26.8</v>
      </c>
      <c r="V28" s="28">
        <f>summary!V34</f>
        <v>26.8</v>
      </c>
      <c r="W28" s="28">
        <f>summary!W34</f>
        <v>26.8</v>
      </c>
    </row>
    <row r="29" spans="2:23" x14ac:dyDescent="0.3">
      <c r="B29" s="1" t="s">
        <v>151</v>
      </c>
      <c r="E29" s="56">
        <f>INDEX(bs!$B$4:$X$68,MATCH($B29,bs!$A$4:$A$68,0),MATCH(E$6,bs!$B$3:$X$3,0))</f>
        <v>0.5</v>
      </c>
      <c r="F29" s="56">
        <f>INDEX(bs!$B$4:$X$68,MATCH($B29,bs!$A$4:$A$68,0),MATCH(F$6,bs!$B$3:$X$3,0))</f>
        <v>0.5</v>
      </c>
      <c r="G29" s="56">
        <f>INDEX(bs!$B$4:$X$68,MATCH($B29,bs!$A$4:$A$68,0),MATCH(G$6,bs!$B$3:$X$3,0))</f>
        <v>0.6</v>
      </c>
      <c r="H29" s="56">
        <f>INDEX(bs!$B$4:$X$68,MATCH($B29,bs!$A$4:$A$68,0),MATCH(H$6,bs!$B$3:$X$3,0))</f>
        <v>0.7</v>
      </c>
      <c r="I29" s="56">
        <f>INDEX(bs!$B$4:$X$68,MATCH($B29,bs!$A$4:$A$68,0),MATCH(I$6,bs!$B$3:$X$3,0))</f>
        <v>0.3</v>
      </c>
      <c r="J29" s="56">
        <f>INDEX(bs!$B$4:$X$68,MATCH($B29,bs!$A$4:$A$68,0),MATCH(J$6,bs!$B$3:$X$3,0))</f>
        <v>0.2</v>
      </c>
      <c r="K29" s="56">
        <f>INDEX(bs!$B$4:$X$68,MATCH($B29,bs!$A$4:$A$68,0),MATCH(K$6,bs!$B$3:$X$3,0))</f>
        <v>0.3</v>
      </c>
      <c r="L29" s="56">
        <f>INDEX(bs!$B$4:$X$68,MATCH($B29,bs!$A$4:$A$68,0),MATCH(L$6,bs!$B$3:$X$3,0))</f>
        <v>4.3</v>
      </c>
      <c r="M29" s="56">
        <f>INDEX(bs!$B$4:$X$68,MATCH($B29,bs!$A$4:$A$68,0),MATCH(M$6,bs!$B$3:$X$3,0))</f>
        <v>7.8</v>
      </c>
      <c r="N29" s="56">
        <f>INDEX(bs!$B$4:$X$68,MATCH($B29,bs!$A$4:$A$68,0),MATCH(N$6,bs!$B$3:$X$3,0))</f>
        <v>6</v>
      </c>
      <c r="O29" s="56">
        <f>INDEX(bs!$B$4:$X$68,MATCH($B29,bs!$A$4:$A$68,0),MATCH(O$6,bs!$B$3:$X$3,0))</f>
        <v>9.1</v>
      </c>
      <c r="P29" s="56">
        <f>INDEX(bs!$B$4:$X$68,MATCH($B29,bs!$A$4:$A$68,0),MATCH(P$6,bs!$B$3:$X$3,0))</f>
        <v>10.6</v>
      </c>
      <c r="Q29" s="28">
        <f>O29</f>
        <v>9.1</v>
      </c>
      <c r="R29" s="28">
        <f t="shared" ref="R29:T30" si="56">Q29</f>
        <v>9.1</v>
      </c>
      <c r="S29" s="28">
        <f t="shared" si="56"/>
        <v>9.1</v>
      </c>
      <c r="T29" s="28">
        <f t="shared" si="56"/>
        <v>9.1</v>
      </c>
      <c r="U29" s="28">
        <f t="shared" ref="U29:U31" si="57">T29</f>
        <v>9.1</v>
      </c>
      <c r="V29" s="28">
        <f t="shared" ref="V29:W31" si="58">U29</f>
        <v>9.1</v>
      </c>
      <c r="W29" s="28">
        <f t="shared" si="58"/>
        <v>9.1</v>
      </c>
    </row>
    <row r="30" spans="2:23" x14ac:dyDescent="0.3">
      <c r="B30" s="1" t="s">
        <v>221</v>
      </c>
      <c r="E30" s="56">
        <f>INDEX(bs!$B$4:$X$68,MATCH($B30,bs!$A$4:$A$68,0),MATCH(E$6,bs!$B$3:$X$3,0))</f>
        <v>0</v>
      </c>
      <c r="F30" s="56">
        <f>INDEX(bs!$B$4:$X$68,MATCH($B30,bs!$A$4:$A$68,0),MATCH(F$6,bs!$B$3:$X$3,0))</f>
        <v>0</v>
      </c>
      <c r="G30" s="56">
        <f>INDEX(bs!$B$4:$X$68,MATCH($B30,bs!$A$4:$A$68,0),MATCH(G$6,bs!$B$3:$X$3,0))</f>
        <v>0</v>
      </c>
      <c r="H30" s="56">
        <f>INDEX(bs!$B$4:$X$68,MATCH($B30,bs!$A$4:$A$68,0),MATCH(H$6,bs!$B$3:$X$3,0))</f>
        <v>0</v>
      </c>
      <c r="I30" s="56">
        <f>INDEX(bs!$B$4:$X$68,MATCH($B30,bs!$A$4:$A$68,0),MATCH(I$6,bs!$B$3:$X$3,0))</f>
        <v>0</v>
      </c>
      <c r="J30" s="56">
        <f>INDEX(bs!$B$4:$X$68,MATCH($B30,bs!$A$4:$A$68,0),MATCH(J$6,bs!$B$3:$X$3,0))</f>
        <v>0</v>
      </c>
      <c r="K30" s="56">
        <f>INDEX(bs!$B$4:$X$68,MATCH($B30,bs!$A$4:$A$68,0),MATCH(K$6,bs!$B$3:$X$3,0))</f>
        <v>0</v>
      </c>
      <c r="L30" s="56">
        <f>INDEX(bs!$B$4:$X$68,MATCH($B30,bs!$A$4:$A$68,0),MATCH(L$6,bs!$B$3:$X$3,0))</f>
        <v>0</v>
      </c>
      <c r="M30" s="56">
        <f>INDEX(bs!$B$4:$X$68,MATCH($B30,bs!$A$4:$A$68,0),MATCH(M$6,bs!$B$3:$X$3,0))</f>
        <v>1.5</v>
      </c>
      <c r="N30" s="56">
        <f>INDEX(bs!$B$4:$X$68,MATCH($B30,bs!$A$4:$A$68,0),MATCH(N$6,bs!$B$3:$X$3,0))</f>
        <v>1.1000000000000001</v>
      </c>
      <c r="O30" s="56">
        <f>INDEX(bs!$B$4:$X$68,MATCH($B30,bs!$A$4:$A$68,0),MATCH(O$6,bs!$B$3:$X$3,0))</f>
        <v>0</v>
      </c>
      <c r="P30" s="56">
        <f>INDEX(bs!$B$4:$X$68,MATCH($B30,bs!$A$4:$A$68,0),MATCH(P$6,bs!$B$3:$X$3,0))</f>
        <v>0</v>
      </c>
      <c r="Q30" s="28">
        <f>O30</f>
        <v>0</v>
      </c>
      <c r="R30" s="28">
        <f t="shared" si="56"/>
        <v>0</v>
      </c>
      <c r="S30" s="28">
        <f t="shared" si="56"/>
        <v>0</v>
      </c>
      <c r="T30" s="28">
        <f t="shared" si="56"/>
        <v>0</v>
      </c>
      <c r="U30" s="28">
        <f t="shared" ref="U30" si="59">T30</f>
        <v>0</v>
      </c>
      <c r="V30" s="28">
        <f t="shared" ref="V30:W30" si="60">U30</f>
        <v>0</v>
      </c>
      <c r="W30" s="28">
        <f t="shared" si="60"/>
        <v>0</v>
      </c>
    </row>
    <row r="31" spans="2:23" x14ac:dyDescent="0.3">
      <c r="B31" s="1" t="s">
        <v>223</v>
      </c>
      <c r="E31" s="56">
        <f>INDEX(bs!$B$4:$X$68,MATCH($B31,bs!$A$4:$A$68,0),MATCH(E$6,bs!$B$3:$X$3,0))</f>
        <v>0</v>
      </c>
      <c r="F31" s="56">
        <f>INDEX(bs!$B$4:$X$68,MATCH($B31,bs!$A$4:$A$68,0),MATCH(F$6,bs!$B$3:$X$3,0))</f>
        <v>0</v>
      </c>
      <c r="G31" s="56">
        <f>INDEX(bs!$B$4:$X$68,MATCH($B31,bs!$A$4:$A$68,0),MATCH(G$6,bs!$B$3:$X$3,0))</f>
        <v>0</v>
      </c>
      <c r="H31" s="56">
        <f>INDEX(bs!$B$4:$X$68,MATCH($B31,bs!$A$4:$A$68,0),MATCH(H$6,bs!$B$3:$X$3,0))</f>
        <v>0</v>
      </c>
      <c r="I31" s="56">
        <f>INDEX(bs!$B$4:$X$68,MATCH($B31,bs!$A$4:$A$68,0),MATCH(I$6,bs!$B$3:$X$3,0))</f>
        <v>0</v>
      </c>
      <c r="J31" s="56">
        <f>INDEX(bs!$B$4:$X$68,MATCH($B31,bs!$A$4:$A$68,0),MATCH(J$6,bs!$B$3:$X$3,0))</f>
        <v>0</v>
      </c>
      <c r="K31" s="56">
        <f>INDEX(bs!$B$4:$X$68,MATCH($B31,bs!$A$4:$A$68,0),MATCH(K$6,bs!$B$3:$X$3,0))</f>
        <v>0</v>
      </c>
      <c r="L31" s="56">
        <f>INDEX(bs!$B$4:$X$68,MATCH($B31,bs!$A$4:$A$68,0),MATCH(L$6,bs!$B$3:$X$3,0))</f>
        <v>0</v>
      </c>
      <c r="M31" s="56">
        <f>INDEX(bs!$B$4:$X$68,MATCH($B31,bs!$A$4:$A$68,0),MATCH(M$6,bs!$B$3:$X$3,0))</f>
        <v>0</v>
      </c>
      <c r="N31" s="56">
        <f>INDEX(bs!$B$4:$X$68,MATCH($B31,bs!$A$4:$A$68,0),MATCH(N$6,bs!$B$3:$X$3,0))</f>
        <v>0</v>
      </c>
      <c r="O31" s="56">
        <f>INDEX(bs!$B$4:$X$68,MATCH($B31,bs!$A$4:$A$68,0),MATCH(O$6,bs!$B$3:$X$3,0))</f>
        <v>0</v>
      </c>
      <c r="P31" s="56">
        <f>INDEX(bs!$B$4:$X$68,MATCH($B31,bs!$A$4:$A$68,0),MATCH(P$6,bs!$B$3:$X$3,0))</f>
        <v>8.6</v>
      </c>
      <c r="Q31" s="28">
        <f>O31</f>
        <v>0</v>
      </c>
      <c r="R31" s="28">
        <f t="shared" ref="R31:T31" si="61">Q31</f>
        <v>0</v>
      </c>
      <c r="S31" s="28">
        <f t="shared" si="61"/>
        <v>0</v>
      </c>
      <c r="T31" s="28">
        <f t="shared" si="61"/>
        <v>0</v>
      </c>
      <c r="U31" s="28">
        <f t="shared" si="57"/>
        <v>0</v>
      </c>
      <c r="V31" s="28">
        <f t="shared" si="58"/>
        <v>0</v>
      </c>
      <c r="W31" s="28">
        <f t="shared" si="58"/>
        <v>0</v>
      </c>
    </row>
    <row r="32" spans="2:23" ht="15" thickBot="1" x14ac:dyDescent="0.35">
      <c r="B32" s="17" t="s">
        <v>18</v>
      </c>
      <c r="C32" s="17"/>
      <c r="D32" s="17"/>
      <c r="E32" s="80">
        <f>SUM(E27:E31)</f>
        <v>5</v>
      </c>
      <c r="F32" s="80">
        <f t="shared" ref="F32:L32" si="62">SUM(F27:F31)</f>
        <v>7.3</v>
      </c>
      <c r="G32" s="80">
        <f t="shared" si="62"/>
        <v>7.6999999999999993</v>
      </c>
      <c r="H32" s="80">
        <f t="shared" si="62"/>
        <v>9.5</v>
      </c>
      <c r="I32" s="80">
        <f t="shared" si="62"/>
        <v>10.700000000000001</v>
      </c>
      <c r="J32" s="80">
        <f t="shared" si="62"/>
        <v>8.8999999999999986</v>
      </c>
      <c r="K32" s="80">
        <f t="shared" si="62"/>
        <v>11.4</v>
      </c>
      <c r="L32" s="80">
        <f t="shared" si="62"/>
        <v>21.2</v>
      </c>
      <c r="M32" s="80">
        <f t="shared" ref="M32:O32" si="63">SUM(M27:M31)</f>
        <v>47.8</v>
      </c>
      <c r="N32" s="80">
        <f t="shared" si="63"/>
        <v>32.9</v>
      </c>
      <c r="O32" s="80">
        <f t="shared" si="63"/>
        <v>72.099999999999994</v>
      </c>
      <c r="P32" s="80">
        <f t="shared" ref="P32" si="64">SUM(P27:P31)</f>
        <v>76.3</v>
      </c>
      <c r="Q32" s="81">
        <f>SUM(Q27:Q31)</f>
        <v>79.810377358490584</v>
      </c>
      <c r="R32" s="81">
        <f>SUM(R27:R31)</f>
        <v>79.810377358490584</v>
      </c>
      <c r="S32" s="81">
        <f>SUM(S27:S31)</f>
        <v>80.754573314342693</v>
      </c>
      <c r="T32" s="81">
        <f>SUM(T27:T31)</f>
        <v>81.670742742507173</v>
      </c>
      <c r="U32" s="81">
        <f t="shared" ref="U32:V32" si="65">SUM(U27:U31)</f>
        <v>81.536371226376389</v>
      </c>
      <c r="V32" s="81">
        <f t="shared" si="65"/>
        <v>80.302840708295719</v>
      </c>
      <c r="W32" s="81">
        <f t="shared" ref="W32" si="66">SUM(W27:W31)</f>
        <v>81.994954336627558</v>
      </c>
    </row>
    <row r="33" spans="2:23" ht="15" thickTop="1" x14ac:dyDescent="0.3"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8"/>
      <c r="R33" s="28"/>
      <c r="S33" s="28"/>
      <c r="T33" s="28"/>
      <c r="U33" s="28"/>
      <c r="V33" s="28"/>
      <c r="W33" s="28"/>
    </row>
    <row r="34" spans="2:23" ht="15" thickBot="1" x14ac:dyDescent="0.35">
      <c r="B34" s="17" t="s">
        <v>20</v>
      </c>
      <c r="C34" s="17"/>
      <c r="D34" s="17"/>
      <c r="E34" s="80">
        <f t="shared" ref="E34:L34" si="67">E22-E32</f>
        <v>8.4</v>
      </c>
      <c r="F34" s="80">
        <f t="shared" si="67"/>
        <v>12.2</v>
      </c>
      <c r="G34" s="80">
        <f t="shared" si="67"/>
        <v>13.099999999999998</v>
      </c>
      <c r="H34" s="80">
        <f t="shared" si="67"/>
        <v>18.5</v>
      </c>
      <c r="I34" s="80">
        <f t="shared" si="67"/>
        <v>23.9</v>
      </c>
      <c r="J34" s="80">
        <f t="shared" si="67"/>
        <v>32.9</v>
      </c>
      <c r="K34" s="80">
        <f t="shared" si="67"/>
        <v>43.5</v>
      </c>
      <c r="L34" s="80">
        <f t="shared" si="67"/>
        <v>53.399999999999991</v>
      </c>
      <c r="M34" s="80">
        <f t="shared" ref="M34:O34" si="68">M22-M32</f>
        <v>56.999999999999986</v>
      </c>
      <c r="N34" s="80">
        <f t="shared" si="68"/>
        <v>84.299999999999983</v>
      </c>
      <c r="O34" s="80">
        <f t="shared" si="68"/>
        <v>105.4</v>
      </c>
      <c r="P34" s="80">
        <f t="shared" ref="P34" si="69">P22-P32</f>
        <v>110.60000000000001</v>
      </c>
      <c r="Q34" s="81">
        <f>Q22-Q32</f>
        <v>118.55170589367025</v>
      </c>
      <c r="R34" s="81">
        <f>R22-R32</f>
        <v>126.35992462556889</v>
      </c>
      <c r="S34" s="81">
        <f>S22-S32</f>
        <v>139.15311843031355</v>
      </c>
      <c r="T34" s="81">
        <f>T22-T32</f>
        <v>155.2505073320786</v>
      </c>
      <c r="U34" s="81">
        <f t="shared" ref="U34:V34" si="70">U22-U32</f>
        <v>175.80985259330527</v>
      </c>
      <c r="V34" s="81">
        <f t="shared" si="70"/>
        <v>199.34190765467861</v>
      </c>
      <c r="W34" s="81">
        <f t="shared" ref="W34" si="71">W22-W32</f>
        <v>221.02608817533232</v>
      </c>
    </row>
    <row r="35" spans="2:23" ht="15" thickTop="1" x14ac:dyDescent="0.3"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8"/>
      <c r="R35" s="28"/>
      <c r="S35" s="28"/>
      <c r="T35" s="28"/>
      <c r="U35" s="28"/>
      <c r="V35" s="28"/>
      <c r="W35" s="28"/>
    </row>
    <row r="36" spans="2:23" x14ac:dyDescent="0.3">
      <c r="B36" s="1" t="s">
        <v>228</v>
      </c>
      <c r="E36" s="56">
        <f>INDEX(bs!$B$4:$X$68,MATCH($B36,bs!$A$4:$A$68,0),MATCH(E$6,bs!$B$3:$X$3,0))</f>
        <v>0</v>
      </c>
      <c r="F36" s="56">
        <f>INDEX(bs!$B$4:$X$68,MATCH($B36,bs!$A$4:$A$68,0),MATCH(F$6,bs!$B$3:$X$3,0))</f>
        <v>0</v>
      </c>
      <c r="G36" s="56">
        <f>INDEX(bs!$B$4:$X$68,MATCH($B36,bs!$A$4:$A$68,0),MATCH(G$6,bs!$B$3:$X$3,0))</f>
        <v>0.1</v>
      </c>
      <c r="H36" s="56">
        <f>INDEX(bs!$B$4:$X$68,MATCH($B36,bs!$A$4:$A$68,0),MATCH(H$6,bs!$B$3:$X$3,0))</f>
        <v>0.1</v>
      </c>
      <c r="I36" s="56">
        <f>INDEX(bs!$B$4:$X$68,MATCH($B36,bs!$A$4:$A$68,0),MATCH(I$6,bs!$B$3:$X$3,0))</f>
        <v>0.1</v>
      </c>
      <c r="J36" s="56">
        <f>INDEX(bs!$B$4:$X$68,MATCH($B36,bs!$A$4:$A$68,0),MATCH(J$6,bs!$B$3:$X$3,0))</f>
        <v>0.1</v>
      </c>
      <c r="K36" s="56">
        <f>INDEX(bs!$B$4:$X$68,MATCH($B36,bs!$A$4:$A$68,0),MATCH(K$6,bs!$B$3:$X$3,0))</f>
        <v>0.1</v>
      </c>
      <c r="L36" s="56">
        <f>INDEX(bs!$B$4:$X$68,MATCH($B36,bs!$A$4:$A$68,0),MATCH(L$6,bs!$B$3:$X$3,0))</f>
        <v>0.1</v>
      </c>
      <c r="M36" s="56">
        <f>INDEX(bs!$B$4:$X$68,MATCH($B36,bs!$A$4:$A$68,0),MATCH(M$6,bs!$B$3:$X$3,0))</f>
        <v>0.1</v>
      </c>
      <c r="N36" s="56">
        <f>INDEX(bs!$B$4:$X$68,MATCH($B36,bs!$A$4:$A$68,0),MATCH(N$6,bs!$B$3:$X$3,0))</f>
        <v>0.1</v>
      </c>
      <c r="O36" s="56">
        <f>INDEX(bs!$B$4:$X$68,MATCH($B36,bs!$A$4:$A$68,0),MATCH(O$6,bs!$B$3:$X$3,0))</f>
        <v>0.1</v>
      </c>
      <c r="P36" s="56">
        <f>INDEX(bs!$B$4:$X$68,MATCH($B36,bs!$A$4:$A$68,0),MATCH(P$6,bs!$B$3:$X$3,0))</f>
        <v>0.1</v>
      </c>
      <c r="Q36" s="28">
        <f>O36</f>
        <v>0.1</v>
      </c>
      <c r="R36" s="28">
        <f t="shared" ref="R36:T36" si="72">Q36</f>
        <v>0.1</v>
      </c>
      <c r="S36" s="28">
        <f t="shared" si="72"/>
        <v>0.1</v>
      </c>
      <c r="T36" s="28">
        <f t="shared" si="72"/>
        <v>0.1</v>
      </c>
      <c r="U36" s="28">
        <f t="shared" ref="U36:U39" si="73">T36</f>
        <v>0.1</v>
      </c>
      <c r="V36" s="28">
        <f t="shared" ref="V36:W39" si="74">U36</f>
        <v>0.1</v>
      </c>
      <c r="W36" s="28">
        <f t="shared" si="74"/>
        <v>0.1</v>
      </c>
    </row>
    <row r="37" spans="2:23" x14ac:dyDescent="0.3">
      <c r="B37" s="1" t="s">
        <v>229</v>
      </c>
      <c r="E37" s="56">
        <f>INDEX(bs!$B$4:$X$68,MATCH($B37,bs!$A$4:$A$68,0),MATCH(E$6,bs!$B$3:$X$3,0))</f>
        <v>1.2</v>
      </c>
      <c r="F37" s="56">
        <f>INDEX(bs!$B$4:$X$68,MATCH($B37,bs!$A$4:$A$68,0),MATCH(F$6,bs!$B$3:$X$3,0))</f>
        <v>1.2</v>
      </c>
      <c r="G37" s="56">
        <f>INDEX(bs!$B$4:$X$68,MATCH($B37,bs!$A$4:$A$68,0),MATCH(G$6,bs!$B$3:$X$3,0))</f>
        <v>0</v>
      </c>
      <c r="H37" s="56">
        <f>INDEX(bs!$B$4:$X$68,MATCH($B37,bs!$A$4:$A$68,0),MATCH(H$6,bs!$B$3:$X$3,0))</f>
        <v>0</v>
      </c>
      <c r="I37" s="56">
        <f>INDEX(bs!$B$4:$X$68,MATCH($B37,bs!$A$4:$A$68,0),MATCH(I$6,bs!$B$3:$X$3,0))</f>
        <v>0</v>
      </c>
      <c r="J37" s="56">
        <f>INDEX(bs!$B$4:$X$68,MATCH($B37,bs!$A$4:$A$68,0),MATCH(J$6,bs!$B$3:$X$3,0))</f>
        <v>0</v>
      </c>
      <c r="K37" s="56">
        <f>INDEX(bs!$B$4:$X$68,MATCH($B37,bs!$A$4:$A$68,0),MATCH(K$6,bs!$B$3:$X$3,0))</f>
        <v>0.1</v>
      </c>
      <c r="L37" s="56">
        <f>INDEX(bs!$B$4:$X$68,MATCH($B37,bs!$A$4:$A$68,0),MATCH(L$6,bs!$B$3:$X$3,0))</f>
        <v>0.1</v>
      </c>
      <c r="M37" s="56">
        <f>INDEX(bs!$B$4:$X$68,MATCH($B37,bs!$A$4:$A$68,0),MATCH(M$6,bs!$B$3:$X$3,0))</f>
        <v>0.1</v>
      </c>
      <c r="N37" s="56">
        <f>INDEX(bs!$B$4:$X$68,MATCH($B37,bs!$A$4:$A$68,0),MATCH(N$6,bs!$B$3:$X$3,0))</f>
        <v>0.1</v>
      </c>
      <c r="O37" s="56">
        <f>INDEX(bs!$B$4:$X$68,MATCH($B37,bs!$A$4:$A$68,0),MATCH(O$6,bs!$B$3:$X$3,0))</f>
        <v>0.1</v>
      </c>
      <c r="P37" s="56">
        <f>INDEX(bs!$B$4:$X$68,MATCH($B37,bs!$A$4:$A$68,0),MATCH(P$6,bs!$B$3:$X$3,0))</f>
        <v>0.1</v>
      </c>
      <c r="Q37" s="28">
        <f>O37</f>
        <v>0.1</v>
      </c>
      <c r="R37" s="28">
        <f t="shared" ref="R37:T37" si="75">Q37</f>
        <v>0.1</v>
      </c>
      <c r="S37" s="28">
        <f t="shared" si="75"/>
        <v>0.1</v>
      </c>
      <c r="T37" s="28">
        <f t="shared" si="75"/>
        <v>0.1</v>
      </c>
      <c r="U37" s="28">
        <f t="shared" si="73"/>
        <v>0.1</v>
      </c>
      <c r="V37" s="28">
        <f t="shared" si="74"/>
        <v>0.1</v>
      </c>
      <c r="W37" s="28">
        <f t="shared" si="74"/>
        <v>0.1</v>
      </c>
    </row>
    <row r="38" spans="2:23" x14ac:dyDescent="0.3">
      <c r="B38" s="1" t="s">
        <v>230</v>
      </c>
      <c r="E38" s="56">
        <f>INDEX(bs!$B$4:$X$68,MATCH($B38,bs!$A$4:$A$68,0),MATCH(E$6,bs!$B$3:$X$3,0))</f>
        <v>0</v>
      </c>
      <c r="F38" s="56">
        <f>INDEX(bs!$B$4:$X$68,MATCH($B38,bs!$A$4:$A$68,0),MATCH(F$6,bs!$B$3:$X$3,0))</f>
        <v>0</v>
      </c>
      <c r="G38" s="56">
        <f>INDEX(bs!$B$4:$X$68,MATCH($B38,bs!$A$4:$A$68,0),MATCH(G$6,bs!$B$3:$X$3,0))</f>
        <v>0</v>
      </c>
      <c r="H38" s="56">
        <f>INDEX(bs!$B$4:$X$68,MATCH($B38,bs!$A$4:$A$68,0),MATCH(H$6,bs!$B$3:$X$3,0))</f>
        <v>0</v>
      </c>
      <c r="I38" s="56">
        <f>INDEX(bs!$B$4:$X$68,MATCH($B38,bs!$A$4:$A$68,0),MATCH(I$6,bs!$B$3:$X$3,0))</f>
        <v>0</v>
      </c>
      <c r="J38" s="56">
        <f>INDEX(bs!$B$4:$X$68,MATCH($B38,bs!$A$4:$A$68,0),MATCH(J$6,bs!$B$3:$X$3,0))</f>
        <v>0</v>
      </c>
      <c r="K38" s="56">
        <f>INDEX(bs!$B$4:$X$68,MATCH($B38,bs!$A$4:$A$68,0),MATCH(K$6,bs!$B$3:$X$3,0))</f>
        <v>0</v>
      </c>
      <c r="L38" s="56">
        <f>INDEX(bs!$B$4:$X$68,MATCH($B38,bs!$A$4:$A$68,0),MATCH(L$6,bs!$B$3:$X$3,0))</f>
        <v>0</v>
      </c>
      <c r="M38" s="56">
        <f>INDEX(bs!$B$4:$X$68,MATCH($B38,bs!$A$4:$A$68,0),MATCH(M$6,bs!$B$3:$X$3,0))</f>
        <v>0</v>
      </c>
      <c r="N38" s="56">
        <f>INDEX(bs!$B$4:$X$68,MATCH($B38,bs!$A$4:$A$68,0),MATCH(N$6,bs!$B$3:$X$3,0))</f>
        <v>0</v>
      </c>
      <c r="O38" s="56">
        <f>INDEX(bs!$B$4:$X$68,MATCH($B38,bs!$A$4:$A$68,0),MATCH(O$6,bs!$B$3:$X$3,0))</f>
        <v>0</v>
      </c>
      <c r="P38" s="56">
        <f>INDEX(bs!$B$4:$X$68,MATCH($B38,bs!$A$4:$A$68,0),MATCH(P$6,bs!$B$3:$X$3,0))</f>
        <v>0</v>
      </c>
      <c r="Q38" s="28">
        <f>O38</f>
        <v>0</v>
      </c>
      <c r="R38" s="28">
        <f t="shared" ref="R38:T38" si="76">Q38</f>
        <v>0</v>
      </c>
      <c r="S38" s="28">
        <f t="shared" si="76"/>
        <v>0</v>
      </c>
      <c r="T38" s="28">
        <f t="shared" si="76"/>
        <v>0</v>
      </c>
      <c r="U38" s="28">
        <f t="shared" si="73"/>
        <v>0</v>
      </c>
      <c r="V38" s="28">
        <f t="shared" si="74"/>
        <v>0</v>
      </c>
      <c r="W38" s="28">
        <f t="shared" si="74"/>
        <v>0</v>
      </c>
    </row>
    <row r="39" spans="2:23" x14ac:dyDescent="0.3">
      <c r="B39" s="1" t="s">
        <v>232</v>
      </c>
      <c r="E39" s="56">
        <f>INDEX(bs!$B$4:$X$68,MATCH($B39,bs!$A$4:$A$68,0),MATCH(E$6,bs!$B$3:$X$3,0))</f>
        <v>0</v>
      </c>
      <c r="F39" s="56">
        <f>INDEX(bs!$B$4:$X$68,MATCH($B39,bs!$A$4:$A$68,0),MATCH(F$6,bs!$B$3:$X$3,0))</f>
        <v>0</v>
      </c>
      <c r="G39" s="56">
        <f>INDEX(bs!$B$4:$X$68,MATCH($B39,bs!$A$4:$A$68,0),MATCH(G$6,bs!$B$3:$X$3,0))</f>
        <v>1.4</v>
      </c>
      <c r="H39" s="56">
        <f>INDEX(bs!$B$4:$X$68,MATCH($B39,bs!$A$4:$A$68,0),MATCH(H$6,bs!$B$3:$X$3,0))</f>
        <v>1.4</v>
      </c>
      <c r="I39" s="56">
        <f>INDEX(bs!$B$4:$X$68,MATCH($B39,bs!$A$4:$A$68,0),MATCH(I$6,bs!$B$3:$X$3,0))</f>
        <v>0.6</v>
      </c>
      <c r="J39" s="56">
        <f>INDEX(bs!$B$4:$X$68,MATCH($B39,bs!$A$4:$A$68,0),MATCH(J$6,bs!$B$3:$X$3,0))</f>
        <v>1.1000000000000001</v>
      </c>
      <c r="K39" s="56">
        <f>INDEX(bs!$B$4:$X$68,MATCH($B39,bs!$A$4:$A$68,0),MATCH(K$6,bs!$B$3:$X$3,0))</f>
        <v>1.5</v>
      </c>
      <c r="L39" s="56">
        <f>INDEX(bs!$B$4:$X$68,MATCH($B39,bs!$A$4:$A$68,0),MATCH(L$6,bs!$B$3:$X$3,0))</f>
        <v>1.4</v>
      </c>
      <c r="M39" s="56">
        <f>INDEX(bs!$B$4:$X$68,MATCH($B39,bs!$A$4:$A$68,0),MATCH(M$6,bs!$B$3:$X$3,0))</f>
        <v>1.9</v>
      </c>
      <c r="N39" s="56">
        <f>INDEX(bs!$B$4:$X$68,MATCH($B39,bs!$A$4:$A$68,0),MATCH(N$6,bs!$B$3:$X$3,0))</f>
        <v>1.6</v>
      </c>
      <c r="O39" s="56">
        <f>INDEX(bs!$B$4:$X$68,MATCH($B39,bs!$A$4:$A$68,0),MATCH(O$6,bs!$B$3:$X$3,0))</f>
        <v>0.1</v>
      </c>
      <c r="P39" s="56">
        <f>INDEX(bs!$B$4:$X$68,MATCH($B39,bs!$A$4:$A$68,0),MATCH(P$6,bs!$B$3:$X$3,0))</f>
        <v>-0.7</v>
      </c>
      <c r="Q39" s="28">
        <f>O39</f>
        <v>0.1</v>
      </c>
      <c r="R39" s="28">
        <f t="shared" ref="R39:T39" si="77">Q39</f>
        <v>0.1</v>
      </c>
      <c r="S39" s="28">
        <f t="shared" si="77"/>
        <v>0.1</v>
      </c>
      <c r="T39" s="28">
        <f t="shared" si="77"/>
        <v>0.1</v>
      </c>
      <c r="U39" s="28">
        <f t="shared" si="73"/>
        <v>0.1</v>
      </c>
      <c r="V39" s="28">
        <f t="shared" si="74"/>
        <v>0.1</v>
      </c>
      <c r="W39" s="28">
        <f t="shared" si="74"/>
        <v>0.1</v>
      </c>
    </row>
    <row r="40" spans="2:23" x14ac:dyDescent="0.3">
      <c r="B40" s="1" t="s">
        <v>21</v>
      </c>
      <c r="E40" s="56">
        <f>E41-SUM(E36:E39)</f>
        <v>7.3999999999999995</v>
      </c>
      <c r="F40" s="56">
        <f t="shared" ref="F40:L40" si="78">F41-SUM(F36:F39)</f>
        <v>11</v>
      </c>
      <c r="G40" s="56">
        <f t="shared" si="78"/>
        <v>11.7</v>
      </c>
      <c r="H40" s="56">
        <f t="shared" si="78"/>
        <v>17</v>
      </c>
      <c r="I40" s="56">
        <f t="shared" si="78"/>
        <v>23.2</v>
      </c>
      <c r="J40" s="56">
        <f t="shared" si="78"/>
        <v>31.7</v>
      </c>
      <c r="K40" s="56">
        <f t="shared" si="78"/>
        <v>41.699999999999996</v>
      </c>
      <c r="L40" s="56">
        <f t="shared" si="78"/>
        <v>51.8</v>
      </c>
      <c r="M40" s="56">
        <f>M41-SUM(M36:M39)</f>
        <v>54.8</v>
      </c>
      <c r="N40" s="56">
        <f t="shared" ref="N40:O40" si="79">N41-SUM(N36:N39)</f>
        <v>82.5</v>
      </c>
      <c r="O40" s="56">
        <f t="shared" si="79"/>
        <v>105</v>
      </c>
      <c r="P40" s="56">
        <f t="shared" ref="P40" si="80">P41-SUM(P36:P39)</f>
        <v>111.1</v>
      </c>
      <c r="Q40" s="28">
        <f>O40+Q61+Q90</f>
        <v>118.25170589367023</v>
      </c>
      <c r="R40" s="28">
        <f t="shared" ref="R40:T40" si="81">Q40+R61+R90</f>
        <v>126.05992462556888</v>
      </c>
      <c r="S40" s="28">
        <f t="shared" si="81"/>
        <v>138.85311843031357</v>
      </c>
      <c r="T40" s="28">
        <f t="shared" si="81"/>
        <v>154.95050733207859</v>
      </c>
      <c r="U40" s="28">
        <f t="shared" ref="U40" si="82">T40+U61+U90</f>
        <v>175.50985259330534</v>
      </c>
      <c r="V40" s="28">
        <f t="shared" ref="V40:W40" si="83">U40+V61+V90</f>
        <v>199.04190765467862</v>
      </c>
      <c r="W40" s="28">
        <f t="shared" si="83"/>
        <v>220.72608817533239</v>
      </c>
    </row>
    <row r="41" spans="2:23" ht="15" thickBot="1" x14ac:dyDescent="0.35">
      <c r="B41" s="17" t="s">
        <v>23</v>
      </c>
      <c r="C41" s="17"/>
      <c r="D41" s="17"/>
      <c r="E41" s="80">
        <f>INDEX(bs!$B$4:$X$68,MATCH($B41,bs!$A$4:$A$68,0),MATCH(E$6,bs!$B$3:$X$3,0))</f>
        <v>8.6</v>
      </c>
      <c r="F41" s="80">
        <f>INDEX(bs!$B$4:$X$68,MATCH($B41,bs!$A$4:$A$68,0),MATCH(F$6,bs!$B$3:$X$3,0))</f>
        <v>12.2</v>
      </c>
      <c r="G41" s="80">
        <f>INDEX(bs!$B$4:$X$68,MATCH($B41,bs!$A$4:$A$68,0),MATCH(G$6,bs!$B$3:$X$3,0))</f>
        <v>13.2</v>
      </c>
      <c r="H41" s="80">
        <f>INDEX(bs!$B$4:$X$68,MATCH($B41,bs!$A$4:$A$68,0),MATCH(H$6,bs!$B$3:$X$3,0))</f>
        <v>18.5</v>
      </c>
      <c r="I41" s="80">
        <f>INDEX(bs!$B$4:$X$68,MATCH($B41,bs!$A$4:$A$68,0),MATCH(I$6,bs!$B$3:$X$3,0))</f>
        <v>23.9</v>
      </c>
      <c r="J41" s="80">
        <f>INDEX(bs!$B$4:$X$68,MATCH($B41,bs!$A$4:$A$68,0),MATCH(J$6,bs!$B$3:$X$3,0))</f>
        <v>32.9</v>
      </c>
      <c r="K41" s="80">
        <f>INDEX(bs!$B$4:$X$68,MATCH($B41,bs!$A$4:$A$68,0),MATCH(K$6,bs!$B$3:$X$3,0))</f>
        <v>43.4</v>
      </c>
      <c r="L41" s="80">
        <f>INDEX(bs!$B$4:$X$68,MATCH($B41,bs!$A$4:$A$68,0),MATCH(L$6,bs!$B$3:$X$3,0))</f>
        <v>53.4</v>
      </c>
      <c r="M41" s="80">
        <f>INDEX(bs!$B$4:$X$68,MATCH($B41,bs!$A$4:$A$68,0),MATCH(M$6,bs!$B$3:$X$3,0))</f>
        <v>56.9</v>
      </c>
      <c r="N41" s="80">
        <f>INDEX(bs!$B$4:$X$68,MATCH($B41,bs!$A$4:$A$68,0),MATCH(N$6,bs!$B$3:$X$3,0))</f>
        <v>84.3</v>
      </c>
      <c r="O41" s="80">
        <f>INDEX(bs!$B$4:$X$68,MATCH($B41,bs!$A$4:$A$68,0),MATCH(O$6,bs!$B$3:$X$3,0))</f>
        <v>105.3</v>
      </c>
      <c r="P41" s="80">
        <f>INDEX(bs!$B$4:$X$68,MATCH($B41,bs!$A$4:$A$68,0),MATCH(P$6,bs!$B$3:$X$3,0))</f>
        <v>110.6</v>
      </c>
      <c r="Q41" s="81">
        <f t="shared" ref="Q41:T41" si="84">SUM(Q36:Q40)</f>
        <v>118.55170589367023</v>
      </c>
      <c r="R41" s="81">
        <f t="shared" si="84"/>
        <v>126.35992462556888</v>
      </c>
      <c r="S41" s="81">
        <f t="shared" si="84"/>
        <v>139.15311843031358</v>
      </c>
      <c r="T41" s="81">
        <f t="shared" si="84"/>
        <v>155.2505073320786</v>
      </c>
      <c r="U41" s="81">
        <f t="shared" ref="U41:V41" si="85">SUM(U36:U40)</f>
        <v>175.80985259330535</v>
      </c>
      <c r="V41" s="81">
        <f t="shared" si="85"/>
        <v>199.34190765467864</v>
      </c>
      <c r="W41" s="81">
        <f t="shared" ref="W41" si="86">SUM(W36:W40)</f>
        <v>221.0260881753324</v>
      </c>
    </row>
    <row r="42" spans="2:23" ht="15" thickTop="1" x14ac:dyDescent="0.3">
      <c r="B42" s="1" t="s">
        <v>22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28"/>
      <c r="R42" s="28"/>
      <c r="S42" s="28"/>
      <c r="T42" s="28"/>
      <c r="U42" s="28"/>
      <c r="V42" s="28"/>
      <c r="W42" s="28"/>
    </row>
    <row r="43" spans="2:23" x14ac:dyDescent="0.3">
      <c r="B43" s="1" t="s">
        <v>105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28"/>
      <c r="R43" s="28"/>
      <c r="S43" s="28"/>
      <c r="T43" s="28"/>
      <c r="U43" s="28"/>
      <c r="V43" s="28"/>
      <c r="W43" s="28"/>
    </row>
    <row r="44" spans="2:23" ht="15" thickBot="1" x14ac:dyDescent="0.35">
      <c r="B44" s="17" t="s">
        <v>23</v>
      </c>
      <c r="C44" s="17"/>
      <c r="D44" s="17"/>
      <c r="E44" s="80">
        <f>SUM(E41:E43)</f>
        <v>8.6</v>
      </c>
      <c r="F44" s="80">
        <f t="shared" ref="F44:T44" si="87">SUM(F41:F43)</f>
        <v>12.2</v>
      </c>
      <c r="G44" s="80">
        <f t="shared" si="87"/>
        <v>13.2</v>
      </c>
      <c r="H44" s="80">
        <f t="shared" si="87"/>
        <v>18.5</v>
      </c>
      <c r="I44" s="80">
        <f t="shared" si="87"/>
        <v>23.9</v>
      </c>
      <c r="J44" s="80">
        <f t="shared" si="87"/>
        <v>32.9</v>
      </c>
      <c r="K44" s="80">
        <f t="shared" si="87"/>
        <v>43.4</v>
      </c>
      <c r="L44" s="80">
        <f t="shared" si="87"/>
        <v>53.4</v>
      </c>
      <c r="M44" s="80">
        <f t="shared" ref="M44:O44" si="88">SUM(M41:M43)</f>
        <v>56.9</v>
      </c>
      <c r="N44" s="80">
        <f t="shared" si="88"/>
        <v>84.3</v>
      </c>
      <c r="O44" s="80">
        <f t="shared" si="88"/>
        <v>105.3</v>
      </c>
      <c r="P44" s="80">
        <f t="shared" ref="P44" si="89">SUM(P41:P43)</f>
        <v>110.6</v>
      </c>
      <c r="Q44" s="81">
        <f t="shared" si="87"/>
        <v>118.55170589367023</v>
      </c>
      <c r="R44" s="81">
        <f t="shared" si="87"/>
        <v>126.35992462556888</v>
      </c>
      <c r="S44" s="81">
        <f t="shared" si="87"/>
        <v>139.15311843031358</v>
      </c>
      <c r="T44" s="81">
        <f t="shared" si="87"/>
        <v>155.2505073320786</v>
      </c>
      <c r="U44" s="81">
        <f t="shared" ref="U44:V44" si="90">SUM(U41:U43)</f>
        <v>175.80985259330535</v>
      </c>
      <c r="V44" s="81">
        <f t="shared" si="90"/>
        <v>199.34190765467864</v>
      </c>
      <c r="W44" s="81">
        <f t="shared" ref="W44" si="91">SUM(W41:W43)</f>
        <v>221.0260881753324</v>
      </c>
    </row>
    <row r="45" spans="2:23" ht="15" thickTop="1" x14ac:dyDescent="0.3">
      <c r="E45" s="82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4"/>
      <c r="S45" s="84"/>
      <c r="T45" s="84"/>
      <c r="U45" s="84"/>
      <c r="V45" s="84"/>
      <c r="W45" s="84"/>
    </row>
    <row r="46" spans="2:23" x14ac:dyDescent="0.3">
      <c r="B46" s="21" t="s">
        <v>24</v>
      </c>
      <c r="E46" s="57">
        <f>ROUND(E34-E44,0)</f>
        <v>0</v>
      </c>
      <c r="F46" s="57">
        <f t="shared" ref="F46:T46" si="92">ROUND(F34-F44,0)</f>
        <v>0</v>
      </c>
      <c r="G46" s="57">
        <f t="shared" si="92"/>
        <v>0</v>
      </c>
      <c r="H46" s="57">
        <f t="shared" si="92"/>
        <v>0</v>
      </c>
      <c r="I46" s="57">
        <f t="shared" si="92"/>
        <v>0</v>
      </c>
      <c r="J46" s="57">
        <f t="shared" si="92"/>
        <v>0</v>
      </c>
      <c r="K46" s="57">
        <f t="shared" si="92"/>
        <v>0</v>
      </c>
      <c r="L46" s="57">
        <f t="shared" si="92"/>
        <v>0</v>
      </c>
      <c r="M46" s="57">
        <f t="shared" ref="M46:O46" si="93">ROUND(M34-M44,0)</f>
        <v>0</v>
      </c>
      <c r="N46" s="57">
        <f t="shared" si="93"/>
        <v>0</v>
      </c>
      <c r="O46" s="57">
        <f t="shared" si="93"/>
        <v>0</v>
      </c>
      <c r="P46" s="57">
        <f t="shared" ref="P46" si="94">ROUND(P34-P44,0)</f>
        <v>0</v>
      </c>
      <c r="Q46" s="30">
        <f t="shared" si="92"/>
        <v>0</v>
      </c>
      <c r="R46" s="30">
        <f t="shared" si="92"/>
        <v>0</v>
      </c>
      <c r="S46" s="30">
        <f t="shared" si="92"/>
        <v>0</v>
      </c>
      <c r="T46" s="30">
        <f t="shared" si="92"/>
        <v>0</v>
      </c>
      <c r="U46" s="30">
        <f t="shared" ref="U46:V46" si="95">ROUND(U34-U44,0)</f>
        <v>0</v>
      </c>
      <c r="V46" s="30">
        <f t="shared" si="95"/>
        <v>0</v>
      </c>
      <c r="W46" s="30">
        <f t="shared" ref="W46" si="96">ROUND(W34-W44,0)</f>
        <v>0</v>
      </c>
    </row>
    <row r="47" spans="2:23" x14ac:dyDescent="0.3">
      <c r="E47" s="82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84"/>
      <c r="S47" s="84"/>
      <c r="T47" s="84"/>
      <c r="U47" s="84"/>
      <c r="V47" s="84"/>
      <c r="W47" s="84"/>
    </row>
    <row r="48" spans="2:23" x14ac:dyDescent="0.3">
      <c r="B48" s="2" t="s">
        <v>30</v>
      </c>
      <c r="C48" s="3"/>
      <c r="D48" s="5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5"/>
      <c r="R48" s="86"/>
      <c r="S48" s="86"/>
      <c r="T48" s="86"/>
      <c r="U48" s="86"/>
      <c r="V48" s="86"/>
      <c r="W48" s="86"/>
    </row>
    <row r="49" spans="2:23" x14ac:dyDescent="0.3">
      <c r="E49" s="82"/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84"/>
      <c r="S49" s="84"/>
      <c r="T49" s="84"/>
      <c r="U49" s="84"/>
      <c r="V49" s="84"/>
      <c r="W49" s="84"/>
    </row>
    <row r="50" spans="2:23" x14ac:dyDescent="0.3">
      <c r="B50" s="1" t="s">
        <v>137</v>
      </c>
      <c r="E50" s="56">
        <f>INDEX('p&amp;l'!$B$5:$CO$107,MATCH($B50,'p&amp;l'!$A$5:$A$107,0),MATCH(E$6,'p&amp;l'!$B$3:$CO$3,0))</f>
        <v>25.3</v>
      </c>
      <c r="F50" s="56">
        <f>INDEX('p&amp;l'!$B$5:$CO$107,MATCH($B50,'p&amp;l'!$A$5:$A$107,0),MATCH(F$6,'p&amp;l'!$B$3:$CO$3,0))</f>
        <v>36.1</v>
      </c>
      <c r="G50" s="56">
        <f>INDEX('p&amp;l'!$B$5:$CO$107,MATCH($B50,'p&amp;l'!$A$5:$A$107,0),MATCH(G$6,'p&amp;l'!$B$3:$CO$3,0))</f>
        <v>41</v>
      </c>
      <c r="H50" s="56">
        <f>INDEX('p&amp;l'!$B$5:$CO$107,MATCH($B50,'p&amp;l'!$A$5:$A$107,0),MATCH(H$6,'p&amp;l'!$B$3:$CO$3,0))</f>
        <v>48</v>
      </c>
      <c r="I50" s="56">
        <f>INDEX('p&amp;l'!$B$5:$CO$107,MATCH($B50,'p&amp;l'!$A$5:$A$107,0),MATCH(I$6,'p&amp;l'!$B$3:$CO$3,0))</f>
        <v>54.3</v>
      </c>
      <c r="J50" s="56">
        <f>INDEX('p&amp;l'!$B$5:$CO$107,MATCH($B50,'p&amp;l'!$A$5:$A$107,0),MATCH(J$6,'p&amp;l'!$B$3:$CO$3,0))</f>
        <v>66.099999999999994</v>
      </c>
      <c r="K50" s="56">
        <f>INDEX('p&amp;l'!$B$5:$CO$107,MATCH($B50,'p&amp;l'!$A$5:$A$107,0),MATCH(K$6,'p&amp;l'!$B$3:$CO$3,0))</f>
        <v>75.099999999999994</v>
      </c>
      <c r="L50" s="56">
        <f>INDEX('p&amp;l'!$B$5:$CO$107,MATCH($B50,'p&amp;l'!$A$5:$A$107,0),MATCH(L$6,'p&amp;l'!$B$3:$CO$3,0))</f>
        <v>84.7</v>
      </c>
      <c r="M50" s="56">
        <f>INDEX('p&amp;l'!$B$5:$CO$107,MATCH($B50,'p&amp;l'!$A$5:$A$107,0),MATCH(M$6,'p&amp;l'!$B$3:$CO$3,0))</f>
        <v>130.1</v>
      </c>
      <c r="N50" s="56">
        <f>INDEX('p&amp;l'!$B$5:$CO$107,MATCH($B50,'p&amp;l'!$A$5:$A$107,0),MATCH(N$6,'p&amp;l'!$B$3:$CO$3,0))</f>
        <v>173.9</v>
      </c>
      <c r="O50" s="56">
        <f>INDEX('p&amp;l'!$B$5:$CO$107,MATCH($B50,'p&amp;l'!$A$5:$A$107,0),MATCH(O$6,'p&amp;l'!$B$3:$CO$3,0))</f>
        <v>183.7</v>
      </c>
      <c r="P50" s="56">
        <f>INDEX('p&amp;l'!$B$5:$CO$107,MATCH($B50,'p&amp;l'!$A$5:$A$107,0),MATCH(P$6,'p&amp;l'!$B$3:$CO$3,0))</f>
        <v>86.2</v>
      </c>
      <c r="Q50" s="28">
        <f>O50*(1+summary!Q24)</f>
        <v>172.4</v>
      </c>
      <c r="R50" s="28">
        <f>Q50*(1+summary!R24)</f>
        <v>154.5613053626106</v>
      </c>
      <c r="S50" s="28">
        <f>R50*(1+summary!S24)</f>
        <v>173.10866200612389</v>
      </c>
      <c r="T50" s="28">
        <f>S50*(1+summary!T24)</f>
        <v>190.41952820673629</v>
      </c>
      <c r="U50" s="28">
        <f>T50*(1+summary!U24)</f>
        <v>205.65309046327519</v>
      </c>
      <c r="V50" s="28">
        <f>U50*(1+summary!V24)</f>
        <v>217.99227589107173</v>
      </c>
      <c r="W50" s="28">
        <f>V50*(1+summary!W24)</f>
        <v>226.71196692671461</v>
      </c>
    </row>
    <row r="51" spans="2:23" x14ac:dyDescent="0.3">
      <c r="B51" s="1" t="s">
        <v>33</v>
      </c>
      <c r="E51" s="56">
        <f>INDEX('p&amp;l'!$B$5:$CO$107,MATCH($B51,'p&amp;l'!$A$5:$A$107,0),MATCH(E$6,'p&amp;l'!$B$3:$CO$3,0))</f>
        <v>-15.6</v>
      </c>
      <c r="F51" s="56">
        <f>INDEX('p&amp;l'!$B$5:$CO$107,MATCH($B51,'p&amp;l'!$A$5:$A$107,0),MATCH(F$6,'p&amp;l'!$B$3:$CO$3,0))</f>
        <v>-21.8</v>
      </c>
      <c r="G51" s="56">
        <f>INDEX('p&amp;l'!$B$5:$CO$107,MATCH($B51,'p&amp;l'!$A$5:$A$107,0),MATCH(G$6,'p&amp;l'!$B$3:$CO$3,0))</f>
        <v>-25.1</v>
      </c>
      <c r="H51" s="56">
        <f>INDEX('p&amp;l'!$B$5:$CO$107,MATCH($B51,'p&amp;l'!$A$5:$A$107,0),MATCH(H$6,'p&amp;l'!$B$3:$CO$3,0))</f>
        <v>-29.4</v>
      </c>
      <c r="I51" s="56">
        <f>INDEX('p&amp;l'!$B$5:$CO$107,MATCH($B51,'p&amp;l'!$A$5:$A$107,0),MATCH(I$6,'p&amp;l'!$B$3:$CO$3,0))</f>
        <v>-33.4</v>
      </c>
      <c r="J51" s="56">
        <f>INDEX('p&amp;l'!$B$5:$CO$107,MATCH($B51,'p&amp;l'!$A$5:$A$107,0),MATCH(J$6,'p&amp;l'!$B$3:$CO$3,0))</f>
        <v>-39.700000000000003</v>
      </c>
      <c r="K51" s="56">
        <f>INDEX('p&amp;l'!$B$5:$CO$107,MATCH($B51,'p&amp;l'!$A$5:$A$107,0),MATCH(K$6,'p&amp;l'!$B$3:$CO$3,0))</f>
        <v>-43.4</v>
      </c>
      <c r="L51" s="56">
        <f>INDEX('p&amp;l'!$B$5:$CO$107,MATCH($B51,'p&amp;l'!$A$5:$A$107,0),MATCH(L$6,'p&amp;l'!$B$3:$CO$3,0))</f>
        <v>-48.9</v>
      </c>
      <c r="M51" s="56">
        <f>INDEX('p&amp;l'!$B$5:$CO$107,MATCH($B51,'p&amp;l'!$A$5:$A$107,0),MATCH(M$6,'p&amp;l'!$B$3:$CO$3,0))</f>
        <v>-70.2</v>
      </c>
      <c r="N51" s="56">
        <f>INDEX('p&amp;l'!$B$5:$CO$107,MATCH($B51,'p&amp;l'!$A$5:$A$107,0),MATCH(N$6,'p&amp;l'!$B$3:$CO$3,0))</f>
        <v>-89.8</v>
      </c>
      <c r="O51" s="56">
        <f>INDEX('p&amp;l'!$B$5:$CO$107,MATCH($B51,'p&amp;l'!$A$5:$A$107,0),MATCH(O$6,'p&amp;l'!$B$3:$CO$3,0))</f>
        <v>-100.5</v>
      </c>
      <c r="P51" s="56">
        <f>INDEX('p&amp;l'!$B$5:$CO$107,MATCH($B51,'p&amp;l'!$A$5:$A$107,0),MATCH(P$6,'p&amp;l'!$B$3:$CO$3,0))</f>
        <v>-45.6</v>
      </c>
      <c r="Q51" s="28">
        <f>-Q50*(1-summary!Q26)</f>
        <v>-91.2</v>
      </c>
      <c r="R51" s="28">
        <f>-R50*(1-summary!R26)</f>
        <v>-83.257261382492089</v>
      </c>
      <c r="S51" s="28">
        <f>-S50*(1-summary!S26)</f>
        <v>-93.248132748391143</v>
      </c>
      <c r="T51" s="28">
        <f>-T50*(1-summary!T26)</f>
        <v>-104.41351981644689</v>
      </c>
      <c r="U51" s="28">
        <f>-U50*(1-summary!U26)</f>
        <v>-112.76660140176266</v>
      </c>
      <c r="V51" s="28">
        <f>-V50*(1-summary!V26)</f>
        <v>-121.63968636434285</v>
      </c>
      <c r="W51" s="28">
        <f>-W50*(1-summary!W26)</f>
        <v>-130.88801868614337</v>
      </c>
    </row>
    <row r="52" spans="2:23" ht="15" thickBot="1" x14ac:dyDescent="0.35">
      <c r="B52" s="17" t="s">
        <v>34</v>
      </c>
      <c r="C52" s="17"/>
      <c r="D52" s="17"/>
      <c r="E52" s="80">
        <f>SUM(E50:E51)</f>
        <v>9.7000000000000011</v>
      </c>
      <c r="F52" s="80">
        <f t="shared" ref="F52:L52" si="97">SUM(F50:F51)</f>
        <v>14.3</v>
      </c>
      <c r="G52" s="80">
        <f t="shared" si="97"/>
        <v>15.899999999999999</v>
      </c>
      <c r="H52" s="80">
        <f t="shared" si="97"/>
        <v>18.600000000000001</v>
      </c>
      <c r="I52" s="80">
        <f t="shared" si="97"/>
        <v>20.9</v>
      </c>
      <c r="J52" s="80">
        <f t="shared" si="97"/>
        <v>26.399999999999991</v>
      </c>
      <c r="K52" s="80">
        <f t="shared" si="97"/>
        <v>31.699999999999996</v>
      </c>
      <c r="L52" s="80">
        <f t="shared" si="97"/>
        <v>35.800000000000004</v>
      </c>
      <c r="M52" s="80">
        <f t="shared" ref="M52:O52" si="98">SUM(M50:M51)</f>
        <v>59.899999999999991</v>
      </c>
      <c r="N52" s="80">
        <f t="shared" si="98"/>
        <v>84.100000000000009</v>
      </c>
      <c r="O52" s="80">
        <f t="shared" si="98"/>
        <v>83.199999999999989</v>
      </c>
      <c r="P52" s="80">
        <f t="shared" ref="P52" si="99">SUM(P50:P51)</f>
        <v>40.6</v>
      </c>
      <c r="Q52" s="81">
        <f t="shared" ref="Q52" si="100">SUM(Q50:Q51)</f>
        <v>81.2</v>
      </c>
      <c r="R52" s="81">
        <f t="shared" ref="R52" si="101">SUM(R50:R51)</f>
        <v>71.304043980118507</v>
      </c>
      <c r="S52" s="81">
        <f t="shared" ref="S52" si="102">SUM(S50:S51)</f>
        <v>79.86052925773275</v>
      </c>
      <c r="T52" s="81">
        <f t="shared" ref="T52:V52" si="103">SUM(T50:T51)</f>
        <v>86.006008390289395</v>
      </c>
      <c r="U52" s="81">
        <f t="shared" si="103"/>
        <v>92.886489061512535</v>
      </c>
      <c r="V52" s="81">
        <f t="shared" si="103"/>
        <v>96.352589526728877</v>
      </c>
      <c r="W52" s="81">
        <f t="shared" ref="W52" si="104">SUM(W50:W51)</f>
        <v>95.823948240571241</v>
      </c>
    </row>
    <row r="53" spans="2:23" ht="15" thickTop="1" x14ac:dyDescent="0.3">
      <c r="B53" s="1" t="s">
        <v>35</v>
      </c>
      <c r="E53" s="56">
        <f>E55-E52-E54</f>
        <v>-5.7000000000000011</v>
      </c>
      <c r="F53" s="56">
        <f t="shared" ref="F53:L53" si="105">F55-F52-F54</f>
        <v>-7.2000000000000011</v>
      </c>
      <c r="G53" s="56">
        <f t="shared" si="105"/>
        <v>-8.3999999999999986</v>
      </c>
      <c r="H53" s="56">
        <f t="shared" si="105"/>
        <v>-10.200000000000001</v>
      </c>
      <c r="I53" s="56">
        <f t="shared" si="105"/>
        <v>-11.299999999999999</v>
      </c>
      <c r="J53" s="56">
        <f t="shared" si="105"/>
        <v>-13.399999999999991</v>
      </c>
      <c r="K53" s="56">
        <f t="shared" si="105"/>
        <v>-15.999999999999996</v>
      </c>
      <c r="L53" s="56">
        <f t="shared" si="105"/>
        <v>-19.500000000000007</v>
      </c>
      <c r="M53" s="56">
        <f>M55-M52</f>
        <v>-43.79999999999999</v>
      </c>
      <c r="N53" s="56">
        <f t="shared" ref="N53" si="106">N55-N52-N54</f>
        <v>-37.900000000000013</v>
      </c>
      <c r="O53" s="56">
        <f>O55-O52</f>
        <v>-42.399999999999991</v>
      </c>
      <c r="P53" s="56">
        <f>P55-P52</f>
        <v>-23.700000000000003</v>
      </c>
      <c r="Q53" s="28">
        <f>-summary!Q27</f>
        <v>-47.400000000000006</v>
      </c>
      <c r="R53" s="28">
        <f>-summary!R27</f>
        <v>-47.400000000000006</v>
      </c>
      <c r="S53" s="28">
        <f>-summary!S27</f>
        <v>-48.470425361714696</v>
      </c>
      <c r="T53" s="28">
        <f>-summary!T27</f>
        <v>-49.509077333751435</v>
      </c>
      <c r="U53" s="28">
        <f>-summary!U27</f>
        <v>-49.356741711186046</v>
      </c>
      <c r="V53" s="28">
        <f>-summary!V27</f>
        <v>-47.958300696035778</v>
      </c>
      <c r="W53" s="28">
        <f>-summary!W27</f>
        <v>-49.876632723877215</v>
      </c>
    </row>
    <row r="54" spans="2:23" x14ac:dyDescent="0.3">
      <c r="B54" s="1" t="s">
        <v>253</v>
      </c>
      <c r="E54" s="56">
        <f>INDEX('p&amp;l'!$B$5:$CO$107,MATCH($B54,'p&amp;l'!$A$5:$A$107,0),MATCH(E$6,'p&amp;l'!$B$3:$CO$3,0))</f>
        <v>0.4</v>
      </c>
      <c r="F54" s="56">
        <f>INDEX('p&amp;l'!$B$5:$CO$107,MATCH($B54,'p&amp;l'!$A$5:$A$107,0),MATCH(F$6,'p&amp;l'!$B$3:$CO$3,0))</f>
        <v>-0.1</v>
      </c>
      <c r="G54" s="56">
        <f>INDEX('p&amp;l'!$B$5:$CO$107,MATCH($B54,'p&amp;l'!$A$5:$A$107,0),MATCH(G$6,'p&amp;l'!$B$3:$CO$3,0))</f>
        <v>0.1</v>
      </c>
      <c r="H54" s="56">
        <f>INDEX('p&amp;l'!$B$5:$CO$107,MATCH($B54,'p&amp;l'!$A$5:$A$107,0),MATCH(H$6,'p&amp;l'!$B$3:$CO$3,0))</f>
        <v>0.2</v>
      </c>
      <c r="I54" s="56">
        <f>INDEX('p&amp;l'!$B$5:$CO$107,MATCH($B54,'p&amp;l'!$A$5:$A$107,0),MATCH(I$6,'p&amp;l'!$B$3:$CO$3,0))</f>
        <v>0.1</v>
      </c>
      <c r="J54" s="56">
        <f>INDEX('p&amp;l'!$B$5:$CO$107,MATCH($B54,'p&amp;l'!$A$5:$A$107,0),MATCH(J$6,'p&amp;l'!$B$3:$CO$3,0))</f>
        <v>0.1</v>
      </c>
      <c r="K54" s="56">
        <f>INDEX('p&amp;l'!$B$5:$CO$107,MATCH($B54,'p&amp;l'!$A$5:$A$107,0),MATCH(K$6,'p&amp;l'!$B$3:$CO$3,0))</f>
        <v>-0.2</v>
      </c>
      <c r="L54" s="56">
        <f>INDEX('p&amp;l'!$B$5:$CO$107,MATCH($B54,'p&amp;l'!$A$5:$A$107,0),MATCH(L$6,'p&amp;l'!$B$3:$CO$3,0))</f>
        <v>0.1</v>
      </c>
      <c r="M54" s="56">
        <f>INDEX('p&amp;l'!$B$5:$CO$107,MATCH($B54,'p&amp;l'!$A$5:$A$107,0),MATCH(M$6,'p&amp;l'!$B$3:$CO$3,0))</f>
        <v>-0.9</v>
      </c>
      <c r="N54" s="56">
        <f>INDEX('p&amp;l'!$B$5:$CO$107,MATCH($B54,'p&amp;l'!$A$5:$A$107,0),MATCH(N$6,'p&amp;l'!$B$3:$CO$3,0))</f>
        <v>-0.3</v>
      </c>
      <c r="O54" s="56">
        <f>INDEX('p&amp;l'!$B$5:$CO$107,MATCH($B54,'p&amp;l'!$A$5:$A$107,0),MATCH(O$6,'p&amp;l'!$B$3:$CO$3,0))</f>
        <v>2.4</v>
      </c>
      <c r="P54" s="56">
        <f>INDEX('p&amp;l'!$B$5:$CO$107,MATCH($B54,'p&amp;l'!$A$5:$A$107,0),MATCH(P$6,'p&amp;l'!$B$3:$CO$3,0))</f>
        <v>0</v>
      </c>
      <c r="Q54" s="28"/>
      <c r="R54" s="28"/>
      <c r="S54" s="28"/>
      <c r="T54" s="28"/>
      <c r="U54" s="28"/>
      <c r="V54" s="28"/>
      <c r="W54" s="28"/>
    </row>
    <row r="55" spans="2:23" ht="15" thickBot="1" x14ac:dyDescent="0.35">
      <c r="B55" s="17" t="s">
        <v>36</v>
      </c>
      <c r="C55" s="17"/>
      <c r="D55" s="17"/>
      <c r="E55" s="80">
        <f>INDEX('p&amp;l'!$B$5:$CO$107,MATCH($B55,'p&amp;l'!$A$5:$A$107,0),MATCH(E$6,'p&amp;l'!$B$3:$CO$3,0))</f>
        <v>4.4000000000000004</v>
      </c>
      <c r="F55" s="80">
        <f>INDEX('p&amp;l'!$B$5:$CO$107,MATCH($B55,'p&amp;l'!$A$5:$A$107,0),MATCH(F$6,'p&amp;l'!$B$3:$CO$3,0))</f>
        <v>7</v>
      </c>
      <c r="G55" s="80">
        <f>INDEX('p&amp;l'!$B$5:$CO$107,MATCH($B55,'p&amp;l'!$A$5:$A$107,0),MATCH(G$6,'p&amp;l'!$B$3:$CO$3,0))</f>
        <v>7.6</v>
      </c>
      <c r="H55" s="80">
        <f>INDEX('p&amp;l'!$B$5:$CO$107,MATCH($B55,'p&amp;l'!$A$5:$A$107,0),MATCH(H$6,'p&amp;l'!$B$3:$CO$3,0))</f>
        <v>8.6</v>
      </c>
      <c r="I55" s="80">
        <f>INDEX('p&amp;l'!$B$5:$CO$107,MATCH($B55,'p&amp;l'!$A$5:$A$107,0),MATCH(I$6,'p&amp;l'!$B$3:$CO$3,0))</f>
        <v>9.6999999999999993</v>
      </c>
      <c r="J55" s="80">
        <f>INDEX('p&amp;l'!$B$5:$CO$107,MATCH($B55,'p&amp;l'!$A$5:$A$107,0),MATCH(J$6,'p&amp;l'!$B$3:$CO$3,0))</f>
        <v>13.1</v>
      </c>
      <c r="K55" s="80">
        <f>INDEX('p&amp;l'!$B$5:$CO$107,MATCH($B55,'p&amp;l'!$A$5:$A$107,0),MATCH(K$6,'p&amp;l'!$B$3:$CO$3,0))</f>
        <v>15.5</v>
      </c>
      <c r="L55" s="80">
        <f>INDEX('p&amp;l'!$B$5:$CO$107,MATCH($B55,'p&amp;l'!$A$5:$A$107,0),MATCH(L$6,'p&amp;l'!$B$3:$CO$3,0))</f>
        <v>16.399999999999999</v>
      </c>
      <c r="M55" s="80">
        <f>INDEX('p&amp;l'!$B$5:$CO$107,MATCH($B55,'p&amp;l'!$A$5:$A$107,0),MATCH(M$6,'p&amp;l'!$B$3:$CO$3,0))+M54</f>
        <v>16.100000000000001</v>
      </c>
      <c r="N55" s="80">
        <f>INDEX('p&amp;l'!$B$5:$CO$107,MATCH($B55,'p&amp;l'!$A$5:$A$107,0),MATCH(N$6,'p&amp;l'!$B$3:$CO$3,0))</f>
        <v>45.9</v>
      </c>
      <c r="O55" s="80">
        <f>INDEX('p&amp;l'!$B$5:$CO$107,MATCH($B55,'p&amp;l'!$A$5:$A$107,0),MATCH(O$6,'p&amp;l'!$B$3:$CO$3,0))</f>
        <v>40.799999999999997</v>
      </c>
      <c r="P55" s="80">
        <f>INDEX('p&amp;l'!$B$5:$CO$107,MATCH($B55,'p&amp;l'!$A$5:$A$107,0),MATCH(P$6,'p&amp;l'!$B$3:$CO$3,0))</f>
        <v>16.899999999999999</v>
      </c>
      <c r="Q55" s="81">
        <f t="shared" ref="Q55:T55" si="107">SUM(Q52:Q54)</f>
        <v>33.799999999999997</v>
      </c>
      <c r="R55" s="81">
        <f t="shared" si="107"/>
        <v>23.904043980118502</v>
      </c>
      <c r="S55" s="81">
        <f t="shared" si="107"/>
        <v>31.390103896018054</v>
      </c>
      <c r="T55" s="81">
        <f t="shared" si="107"/>
        <v>36.49693105653796</v>
      </c>
      <c r="U55" s="81">
        <f t="shared" ref="U55:V55" si="108">SUM(U52:U54)</f>
        <v>43.529747350326488</v>
      </c>
      <c r="V55" s="81">
        <f t="shared" si="108"/>
        <v>48.3942888306931</v>
      </c>
      <c r="W55" s="81">
        <f t="shared" ref="W55" si="109">SUM(W52:W54)</f>
        <v>45.947315516694026</v>
      </c>
    </row>
    <row r="56" spans="2:23" ht="15" thickTop="1" x14ac:dyDescent="0.3">
      <c r="B56" s="1" t="s">
        <v>37</v>
      </c>
      <c r="E56" s="56">
        <f>E57-E55</f>
        <v>-1.4000000000000004</v>
      </c>
      <c r="F56" s="56">
        <f>F57-F55</f>
        <v>-1.7999999999999998</v>
      </c>
      <c r="G56" s="56">
        <f t="shared" ref="G56:L56" si="110">G57-G55</f>
        <v>-1.8999999999999995</v>
      </c>
      <c r="H56" s="56">
        <f t="shared" si="110"/>
        <v>-2.2999999999999998</v>
      </c>
      <c r="I56" s="56">
        <f t="shared" si="110"/>
        <v>-2.5999999999999996</v>
      </c>
      <c r="J56" s="56">
        <f t="shared" si="110"/>
        <v>-3.5999999999999996</v>
      </c>
      <c r="K56" s="56">
        <f t="shared" si="110"/>
        <v>-3.5999999999999996</v>
      </c>
      <c r="L56" s="56">
        <f t="shared" si="110"/>
        <v>-3.5999999999999979</v>
      </c>
      <c r="M56" s="56">
        <f t="shared" ref="M56:O56" si="111">M57-M55</f>
        <v>-8.6000000000000014</v>
      </c>
      <c r="N56" s="56">
        <f t="shared" si="111"/>
        <v>-10.100000000000001</v>
      </c>
      <c r="O56" s="56">
        <f t="shared" si="111"/>
        <v>-9.6999999999999993</v>
      </c>
      <c r="P56" s="56">
        <f t="shared" ref="P56" si="112">P57-P55</f>
        <v>-5.3999999999999986</v>
      </c>
      <c r="Q56" s="28">
        <f>(P19+P18)*(-summary!Q29)</f>
        <v>-11.67407407407407</v>
      </c>
      <c r="R56" s="28">
        <f>(Q19+Q18)*(-summary!R29)</f>
        <v>-10.671993842770188</v>
      </c>
      <c r="S56" s="28">
        <f>(R19+R18)*(-summary!S29)</f>
        <v>-10.526733894065933</v>
      </c>
      <c r="T56" s="28">
        <f>(S19+S18)*(-summary!T29)</f>
        <v>-10.575287078900377</v>
      </c>
      <c r="U56" s="28">
        <f>(T19+T18)*(-summary!U29)</f>
        <v>-10.77745413104377</v>
      </c>
      <c r="V56" s="28">
        <f>(U19+U18)*(-summary!V29)</f>
        <v>-11.09118060871695</v>
      </c>
      <c r="W56" s="28">
        <f>(V19+V18)*(-summary!W29)</f>
        <v>-11.473052270634144</v>
      </c>
    </row>
    <row r="57" spans="2:23" ht="15" thickBot="1" x14ac:dyDescent="0.35">
      <c r="B57" s="17" t="s">
        <v>38</v>
      </c>
      <c r="C57" s="17"/>
      <c r="D57" s="17"/>
      <c r="E57" s="80">
        <f>INDEX('p&amp;l'!$B$5:$CO$107,MATCH($B57,'p&amp;l'!$A$5:$A$107,0),MATCH(E$6,'p&amp;l'!$B$3:$CO$3,0))</f>
        <v>3</v>
      </c>
      <c r="F57" s="80">
        <f>INDEX('p&amp;l'!$B$5:$CO$107,MATCH($B57,'p&amp;l'!$A$5:$A$107,0),MATCH(F$6,'p&amp;l'!$B$3:$CO$3,0))</f>
        <v>5.2</v>
      </c>
      <c r="G57" s="80">
        <f>INDEX('p&amp;l'!$B$5:$CO$107,MATCH($B57,'p&amp;l'!$A$5:$A$107,0),MATCH(G$6,'p&amp;l'!$B$3:$CO$3,0))</f>
        <v>5.7</v>
      </c>
      <c r="H57" s="80">
        <f>INDEX('p&amp;l'!$B$5:$CO$107,MATCH($B57,'p&amp;l'!$A$5:$A$107,0),MATCH(H$6,'p&amp;l'!$B$3:$CO$3,0))</f>
        <v>6.3</v>
      </c>
      <c r="I57" s="80">
        <f>INDEX('p&amp;l'!$B$5:$CO$107,MATCH($B57,'p&amp;l'!$A$5:$A$107,0),MATCH(I$6,'p&amp;l'!$B$3:$CO$3,0))</f>
        <v>7.1</v>
      </c>
      <c r="J57" s="80">
        <f>INDEX('p&amp;l'!$B$5:$CO$107,MATCH($B57,'p&amp;l'!$A$5:$A$107,0),MATCH(J$6,'p&amp;l'!$B$3:$CO$3,0))</f>
        <v>9.5</v>
      </c>
      <c r="K57" s="80">
        <f>INDEX('p&amp;l'!$B$5:$CO$107,MATCH($B57,'p&amp;l'!$A$5:$A$107,0),MATCH(K$6,'p&amp;l'!$B$3:$CO$3,0))</f>
        <v>11.9</v>
      </c>
      <c r="L57" s="80">
        <f>INDEX('p&amp;l'!$B$5:$CO$107,MATCH($B57,'p&amp;l'!$A$5:$A$107,0),MATCH(L$6,'p&amp;l'!$B$3:$CO$3,0))</f>
        <v>12.8</v>
      </c>
      <c r="M57" s="80">
        <f>INDEX('p&amp;l'!$B$5:$CO$107,MATCH($B57,'p&amp;l'!$A$5:$A$107,0),MATCH(M$6,'p&amp;l'!$B$3:$CO$3,0))+M54</f>
        <v>7.5</v>
      </c>
      <c r="N57" s="80">
        <f>INDEX('p&amp;l'!$B$5:$CO$107,MATCH($B57,'p&amp;l'!$A$5:$A$107,0),MATCH(N$6,'p&amp;l'!$B$3:$CO$3,0))</f>
        <v>35.799999999999997</v>
      </c>
      <c r="O57" s="80">
        <f>INDEX('p&amp;l'!$B$5:$CO$107,MATCH($B57,'p&amp;l'!$A$5:$A$107,0),MATCH(O$6,'p&amp;l'!$B$3:$CO$3,0))+O54</f>
        <v>31.099999999999998</v>
      </c>
      <c r="P57" s="80">
        <f>INDEX('p&amp;l'!$B$5:$CO$107,MATCH($B57,'p&amp;l'!$A$5:$A$107,0),MATCH(P$6,'p&amp;l'!$B$3:$CO$3,0))</f>
        <v>11.5</v>
      </c>
      <c r="Q57" s="81">
        <f t="shared" ref="Q57:R57" si="113">SUM(Q55:Q56)</f>
        <v>22.125925925925927</v>
      </c>
      <c r="R57" s="81">
        <f t="shared" si="113"/>
        <v>13.232050137348313</v>
      </c>
      <c r="S57" s="81">
        <f t="shared" ref="S57" si="114">SUM(S55:S56)</f>
        <v>20.86337000195212</v>
      </c>
      <c r="T57" s="81">
        <f t="shared" ref="T57:V57" si="115">SUM(T55:T56)</f>
        <v>25.921643977637583</v>
      </c>
      <c r="U57" s="81">
        <f t="shared" si="115"/>
        <v>32.75229321928272</v>
      </c>
      <c r="V57" s="81">
        <f t="shared" si="115"/>
        <v>37.303108221976146</v>
      </c>
      <c r="W57" s="81">
        <f t="shared" ref="W57" si="116">SUM(W55:W56)</f>
        <v>34.474263246059884</v>
      </c>
    </row>
    <row r="58" spans="2:23" ht="15" thickTop="1" x14ac:dyDescent="0.3">
      <c r="B58" s="1" t="s">
        <v>252</v>
      </c>
      <c r="E58" s="56">
        <f>INDEX('p&amp;l'!$B$5:$CO$107,MATCH($B58,'p&amp;l'!$A$5:$A$107,0),MATCH(E$6,'p&amp;l'!$B$3:$CO$3,0))</f>
        <v>0</v>
      </c>
      <c r="F58" s="56">
        <f>INDEX('p&amp;l'!$B$5:$CO$107,MATCH($B58,'p&amp;l'!$A$5:$A$107,0),MATCH(F$6,'p&amp;l'!$B$3:$CO$3,0))</f>
        <v>0</v>
      </c>
      <c r="G58" s="56">
        <f>INDEX('p&amp;l'!$B$5:$CO$107,MATCH($B58,'p&amp;l'!$A$5:$A$107,0),MATCH(G$6,'p&amp;l'!$B$3:$CO$3,0))</f>
        <v>0.1</v>
      </c>
      <c r="H58" s="56">
        <f>INDEX('p&amp;l'!$B$5:$CO$107,MATCH($B58,'p&amp;l'!$A$5:$A$107,0),MATCH(H$6,'p&amp;l'!$B$3:$CO$3,0))</f>
        <v>0</v>
      </c>
      <c r="I58" s="56">
        <f>INDEX('p&amp;l'!$B$5:$CO$107,MATCH($B58,'p&amp;l'!$A$5:$A$107,0),MATCH(I$6,'p&amp;l'!$B$3:$CO$3,0))</f>
        <v>-0.1</v>
      </c>
      <c r="J58" s="56">
        <f>INDEX('p&amp;l'!$B$5:$CO$107,MATCH($B58,'p&amp;l'!$A$5:$A$107,0),MATCH(J$6,'p&amp;l'!$B$3:$CO$3,0))</f>
        <v>0</v>
      </c>
      <c r="K58" s="56">
        <f>INDEX('p&amp;l'!$B$5:$CO$107,MATCH($B58,'p&amp;l'!$A$5:$A$107,0),MATCH(K$6,'p&amp;l'!$B$3:$CO$3,0))</f>
        <v>0</v>
      </c>
      <c r="L58" s="56">
        <f>INDEX('p&amp;l'!$B$5:$CO$107,MATCH($B58,'p&amp;l'!$A$5:$A$107,0),MATCH(L$6,'p&amp;l'!$B$3:$CO$3,0))</f>
        <v>0.1</v>
      </c>
      <c r="M58" s="56">
        <f>INDEX('p&amp;l'!$B$5:$CO$107,MATCH($B58,'p&amp;l'!$A$5:$A$107,0),MATCH(M$6,'p&amp;l'!$B$3:$CO$3,0))</f>
        <v>-0.5</v>
      </c>
      <c r="N58" s="56">
        <f>INDEX('p&amp;l'!$B$5:$CO$107,MATCH($B58,'p&amp;l'!$A$5:$A$107,0),MATCH(N$6,'p&amp;l'!$B$3:$CO$3,0))</f>
        <v>-0.4</v>
      </c>
      <c r="O58" s="56">
        <f>INDEX('p&amp;l'!$B$5:$CO$107,MATCH($B58,'p&amp;l'!$A$5:$A$107,0),MATCH(O$6,'p&amp;l'!$B$3:$CO$3,0))</f>
        <v>-0.5</v>
      </c>
      <c r="P58" s="56">
        <f>INDEX('p&amp;l'!$B$5:$CO$107,MATCH($B58,'p&amp;l'!$A$5:$A$107,0),MATCH(P$6,'p&amp;l'!$B$3:$CO$3,0))</f>
        <v>-0.6</v>
      </c>
      <c r="Q58" s="28">
        <f>-SUM(O28:Q28,O26:Q26)/2*summary!Q30</f>
        <v>-1.8393638170974154</v>
      </c>
      <c r="R58" s="28">
        <f>-SUM(Q28:R28,Q26:R26)/2*summary!R30</f>
        <v>-1.278727634194831</v>
      </c>
      <c r="S58" s="28">
        <f>-SUM(R28:S28,R26:S26)/2*summary!S30</f>
        <v>-1.278727634194831</v>
      </c>
      <c r="T58" s="28">
        <f>-SUM(S28:T28,S26:T26)/2*summary!T30</f>
        <v>-1.278727634194831</v>
      </c>
      <c r="U58" s="28">
        <f>-SUM(T28:U28,T26:U26)/2*summary!U30</f>
        <v>-1.278727634194831</v>
      </c>
      <c r="V58" s="28">
        <f>-SUM(U28:V28,U26:V26)/2*summary!V30</f>
        <v>-1.278727634194831</v>
      </c>
      <c r="W58" s="28">
        <f>-SUM(V28:W28,V26:W26)/2*summary!W30</f>
        <v>-1.278727634194831</v>
      </c>
    </row>
    <row r="59" spans="2:23" ht="15" thickBot="1" x14ac:dyDescent="0.35">
      <c r="B59" s="17" t="s">
        <v>39</v>
      </c>
      <c r="C59" s="17"/>
      <c r="D59" s="17"/>
      <c r="E59" s="80">
        <f t="shared" ref="E59:T59" si="117">SUM(E57:E58)</f>
        <v>3</v>
      </c>
      <c r="F59" s="80">
        <f t="shared" si="117"/>
        <v>5.2</v>
      </c>
      <c r="G59" s="80">
        <f t="shared" si="117"/>
        <v>5.8</v>
      </c>
      <c r="H59" s="80">
        <f t="shared" si="117"/>
        <v>6.3</v>
      </c>
      <c r="I59" s="80">
        <f t="shared" si="117"/>
        <v>7</v>
      </c>
      <c r="J59" s="80">
        <f t="shared" si="117"/>
        <v>9.5</v>
      </c>
      <c r="K59" s="80">
        <f t="shared" si="117"/>
        <v>11.9</v>
      </c>
      <c r="L59" s="80">
        <f t="shared" si="117"/>
        <v>12.9</v>
      </c>
      <c r="M59" s="80">
        <f t="shared" ref="M59:O59" si="118">SUM(M57:M58)</f>
        <v>7</v>
      </c>
      <c r="N59" s="80">
        <f t="shared" si="118"/>
        <v>35.4</v>
      </c>
      <c r="O59" s="80">
        <f t="shared" si="118"/>
        <v>30.599999999999998</v>
      </c>
      <c r="P59" s="80">
        <f t="shared" ref="P59" si="119">SUM(P57:P58)</f>
        <v>10.9</v>
      </c>
      <c r="Q59" s="81">
        <f t="shared" si="117"/>
        <v>20.286562108828512</v>
      </c>
      <c r="R59" s="81">
        <f t="shared" si="117"/>
        <v>11.953322503153482</v>
      </c>
      <c r="S59" s="81">
        <f t="shared" si="117"/>
        <v>19.58464236775729</v>
      </c>
      <c r="T59" s="81">
        <f t="shared" si="117"/>
        <v>24.642916343442753</v>
      </c>
      <c r="U59" s="81">
        <f t="shared" ref="U59:V59" si="120">SUM(U57:U58)</f>
        <v>31.47356558508789</v>
      </c>
      <c r="V59" s="81">
        <f t="shared" si="120"/>
        <v>36.024380587781316</v>
      </c>
      <c r="W59" s="81">
        <f t="shared" ref="W59" si="121">SUM(W57:W58)</f>
        <v>33.195535611865054</v>
      </c>
    </row>
    <row r="60" spans="2:23" ht="15" thickTop="1" x14ac:dyDescent="0.3">
      <c r="B60" s="1" t="s">
        <v>254</v>
      </c>
      <c r="E60" s="56">
        <f>INDEX('p&amp;l'!$B$5:$CO$107,MATCH($B60,'p&amp;l'!$A$5:$A$107,0),MATCH(E$6,'p&amp;l'!$B$3:$CO$3,0))</f>
        <v>-0.3</v>
      </c>
      <c r="F60" s="56">
        <f>INDEX('p&amp;l'!$B$5:$CO$107,MATCH($B60,'p&amp;l'!$A$5:$A$107,0),MATCH(F$6,'p&amp;l'!$B$3:$CO$3,0))</f>
        <v>-0.6</v>
      </c>
      <c r="G60" s="56">
        <f>INDEX('p&amp;l'!$B$5:$CO$107,MATCH($B60,'p&amp;l'!$A$5:$A$107,0),MATCH(G$6,'p&amp;l'!$B$3:$CO$3,0))</f>
        <v>-0.8</v>
      </c>
      <c r="H60" s="56">
        <f>INDEX('p&amp;l'!$B$5:$CO$107,MATCH($B60,'p&amp;l'!$A$5:$A$107,0),MATCH(H$6,'p&amp;l'!$B$3:$CO$3,0))</f>
        <v>-1</v>
      </c>
      <c r="I60" s="56">
        <f>INDEX('p&amp;l'!$B$5:$CO$107,MATCH($B60,'p&amp;l'!$A$5:$A$107,0),MATCH(I$6,'p&amp;l'!$B$3:$CO$3,0))</f>
        <v>-0.9</v>
      </c>
      <c r="J60" s="56">
        <f>INDEX('p&amp;l'!$B$5:$CO$107,MATCH($B60,'p&amp;l'!$A$5:$A$107,0),MATCH(J$6,'p&amp;l'!$B$3:$CO$3,0))</f>
        <v>-1</v>
      </c>
      <c r="K60" s="56">
        <f>INDEX('p&amp;l'!$B$5:$CO$107,MATCH($B60,'p&amp;l'!$A$5:$A$107,0),MATCH(K$6,'p&amp;l'!$B$3:$CO$3,0))</f>
        <v>-1.2</v>
      </c>
      <c r="L60" s="56">
        <f>INDEX('p&amp;l'!$B$5:$CO$107,MATCH($B60,'p&amp;l'!$A$5:$A$107,0),MATCH(L$6,'p&amp;l'!$B$3:$CO$3,0))</f>
        <v>-1.3</v>
      </c>
      <c r="M60" s="56">
        <f>INDEX('p&amp;l'!$B$5:$CO$107,MATCH($B60,'p&amp;l'!$A$5:$A$107,0),MATCH(M$6,'p&amp;l'!$B$3:$CO$3,0))</f>
        <v>-2.9</v>
      </c>
      <c r="N60" s="56">
        <f>INDEX('p&amp;l'!$B$5:$CO$107,MATCH($B60,'p&amp;l'!$A$5:$A$107,0),MATCH(N$6,'p&amp;l'!$B$3:$CO$3,0))</f>
        <v>-6.8</v>
      </c>
      <c r="O60" s="56">
        <f>INDEX('p&amp;l'!$B$5:$CO$107,MATCH($B60,'p&amp;l'!$A$5:$A$107,0),MATCH(O$6,'p&amp;l'!$B$3:$CO$3,0))</f>
        <v>-5.8</v>
      </c>
      <c r="P60" s="56">
        <f>INDEX('p&amp;l'!$B$5:$CO$107,MATCH($B60,'p&amp;l'!$A$5:$A$107,0),MATCH(P$6,'p&amp;l'!$B$3:$CO$3,0))</f>
        <v>-2.4</v>
      </c>
      <c r="Q60" s="28">
        <f>-Q59*summary!Q31</f>
        <v>-5.0716405272071281</v>
      </c>
      <c r="R60" s="28">
        <f>-R59*summary!R31</f>
        <v>-2.9883306257883704</v>
      </c>
      <c r="S60" s="28">
        <f>-S59*summary!S31</f>
        <v>-4.8961605919393225</v>
      </c>
      <c r="T60" s="28">
        <f>-T59*summary!T31</f>
        <v>-6.1607290858606882</v>
      </c>
      <c r="U60" s="28">
        <f>-U59*summary!U31</f>
        <v>-7.8683913962719725</v>
      </c>
      <c r="V60" s="28">
        <f>-V59*summary!V31</f>
        <v>-9.006095146945329</v>
      </c>
      <c r="W60" s="28">
        <f>-W59*summary!W31</f>
        <v>-8.2988839029662635</v>
      </c>
    </row>
    <row r="61" spans="2:23" ht="15" thickBot="1" x14ac:dyDescent="0.35">
      <c r="B61" s="17" t="s">
        <v>41</v>
      </c>
      <c r="C61" s="17"/>
      <c r="D61" s="17"/>
      <c r="E61" s="80">
        <f t="shared" ref="E61:R61" si="122">SUM(E59:E60)</f>
        <v>2.7</v>
      </c>
      <c r="F61" s="80">
        <f t="shared" si="122"/>
        <v>4.6000000000000005</v>
      </c>
      <c r="G61" s="80">
        <f t="shared" si="122"/>
        <v>5</v>
      </c>
      <c r="H61" s="80">
        <f t="shared" si="122"/>
        <v>5.3</v>
      </c>
      <c r="I61" s="80">
        <f t="shared" si="122"/>
        <v>6.1</v>
      </c>
      <c r="J61" s="80">
        <f t="shared" si="122"/>
        <v>8.5</v>
      </c>
      <c r="K61" s="80">
        <f t="shared" si="122"/>
        <v>10.700000000000001</v>
      </c>
      <c r="L61" s="80">
        <f t="shared" si="122"/>
        <v>11.6</v>
      </c>
      <c r="M61" s="80">
        <f t="shared" ref="M61:O61" si="123">SUM(M59:M60)</f>
        <v>4.0999999999999996</v>
      </c>
      <c r="N61" s="80">
        <f t="shared" si="123"/>
        <v>28.599999999999998</v>
      </c>
      <c r="O61" s="80">
        <f t="shared" si="123"/>
        <v>24.799999999999997</v>
      </c>
      <c r="P61" s="80">
        <f t="shared" ref="P61" si="124">SUM(P59:P60)</f>
        <v>8.5</v>
      </c>
      <c r="Q61" s="81">
        <f t="shared" si="122"/>
        <v>15.214921581621384</v>
      </c>
      <c r="R61" s="81">
        <f t="shared" si="122"/>
        <v>8.9649918773651116</v>
      </c>
      <c r="S61" s="81">
        <f t="shared" ref="S61" si="125">SUM(S59:S60)</f>
        <v>14.688481775817968</v>
      </c>
      <c r="T61" s="81">
        <f>SUM(T59:T60)</f>
        <v>18.482187257582066</v>
      </c>
      <c r="U61" s="81">
        <f t="shared" ref="U61:W61" si="126">SUM(U59:U60)</f>
        <v>23.605174188815916</v>
      </c>
      <c r="V61" s="81">
        <f t="shared" si="126"/>
        <v>27.018285440835989</v>
      </c>
      <c r="W61" s="81">
        <f t="shared" si="126"/>
        <v>24.896651708898791</v>
      </c>
    </row>
    <row r="62" spans="2:23" ht="15" thickTop="1" x14ac:dyDescent="0.3"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28"/>
      <c r="R62" s="28"/>
      <c r="S62" s="28"/>
      <c r="T62" s="28"/>
      <c r="U62" s="28"/>
      <c r="V62" s="28"/>
      <c r="W62" s="28"/>
    </row>
    <row r="63" spans="2:23" x14ac:dyDescent="0.3">
      <c r="B63" s="1" t="s">
        <v>272</v>
      </c>
      <c r="E63" s="56">
        <f>INDEX('p&amp;l'!$B$5:$CO$107,MATCH($B63,'p&amp;l'!$A$5:$A$107,0),MATCH(E$6,'p&amp;l'!$B$3:$CO$3,0))</f>
        <v>58.1</v>
      </c>
      <c r="F63" s="56">
        <f>INDEX('p&amp;l'!$B$5:$CO$107,MATCH($B63,'p&amp;l'!$A$5:$A$107,0),MATCH(F$6,'p&amp;l'!$B$3:$CO$3,0))</f>
        <v>58.1</v>
      </c>
      <c r="G63" s="56">
        <f>INDEX('p&amp;l'!$B$5:$CO$107,MATCH($B63,'p&amp;l'!$A$5:$A$107,0),MATCH(G$6,'p&amp;l'!$B$3:$CO$3,0))</f>
        <v>49.2</v>
      </c>
      <c r="H63" s="56">
        <f>INDEX('p&amp;l'!$B$5:$CO$107,MATCH($B63,'p&amp;l'!$A$5:$A$107,0),MATCH(H$6,'p&amp;l'!$B$3:$CO$3,0))</f>
        <v>52.4</v>
      </c>
      <c r="I63" s="56">
        <f>INDEX('p&amp;l'!$B$5:$CO$107,MATCH($B63,'p&amp;l'!$A$5:$A$107,0),MATCH(I$6,'p&amp;l'!$B$3:$CO$3,0))</f>
        <v>53.2</v>
      </c>
      <c r="J63" s="56">
        <f>INDEX('p&amp;l'!$B$5:$CO$107,MATCH($B63,'p&amp;l'!$A$5:$A$107,0),MATCH(J$6,'p&amp;l'!$B$3:$CO$3,0))</f>
        <v>55.4</v>
      </c>
      <c r="K63" s="56">
        <f>INDEX('p&amp;l'!$B$5:$CO$107,MATCH($B63,'p&amp;l'!$A$5:$A$107,0),MATCH(K$6,'p&amp;l'!$B$3:$CO$3,0))</f>
        <v>56.8</v>
      </c>
      <c r="L63" s="56">
        <f>INDEX('p&amp;l'!$B$5:$CO$107,MATCH($B63,'p&amp;l'!$A$5:$A$107,0),MATCH(L$6,'p&amp;l'!$B$3:$CO$3,0))</f>
        <v>57.2</v>
      </c>
      <c r="M63" s="56">
        <f>INDEX('p&amp;l'!$B$5:$CO$107,MATCH($B63,'p&amp;l'!$A$5:$A$107,0),MATCH(M$6,'p&amp;l'!$B$3:$CO$3,0))</f>
        <v>57.7</v>
      </c>
      <c r="N63" s="56">
        <f>INDEX('p&amp;l'!$B$5:$CO$107,MATCH($B63,'p&amp;l'!$A$5:$A$107,0),MATCH(N$6,'p&amp;l'!$B$3:$CO$3,0))</f>
        <v>58</v>
      </c>
      <c r="O63" s="56">
        <f>INDEX('p&amp;l'!$B$5:$CO$107,MATCH($B63,'p&amp;l'!$A$5:$A$107,0),MATCH(O$6,'p&amp;l'!$B$3:$CO$3,0))</f>
        <v>58.3</v>
      </c>
      <c r="P63" s="56">
        <f>INDEX('p&amp;l'!$B$5:$CO$107,MATCH($B63,'p&amp;l'!$A$5:$A$107,0),MATCH(P$6,'p&amp;l'!$B$3:$CO$3,0))</f>
        <v>58.5</v>
      </c>
      <c r="Q63" s="28"/>
      <c r="R63" s="28"/>
      <c r="S63" s="28"/>
      <c r="T63" s="28"/>
      <c r="U63" s="28"/>
      <c r="V63" s="28"/>
      <c r="W63" s="28"/>
    </row>
    <row r="64" spans="2:23" x14ac:dyDescent="0.3">
      <c r="B64" s="1" t="s">
        <v>300</v>
      </c>
      <c r="E64" s="56">
        <f>E61/E63*100</f>
        <v>4.6471600688468158</v>
      </c>
      <c r="F64" s="56">
        <f t="shared" ref="F64:L64" si="127">F61/F63*100</f>
        <v>7.9173838209982792</v>
      </c>
      <c r="G64" s="56">
        <f t="shared" si="127"/>
        <v>10.16260162601626</v>
      </c>
      <c r="H64" s="56">
        <f t="shared" si="127"/>
        <v>10.114503816793894</v>
      </c>
      <c r="I64" s="56">
        <f t="shared" si="127"/>
        <v>11.466165413533833</v>
      </c>
      <c r="J64" s="56">
        <f t="shared" si="127"/>
        <v>15.342960288808666</v>
      </c>
      <c r="K64" s="56">
        <f t="shared" si="127"/>
        <v>18.838028169014088</v>
      </c>
      <c r="L64" s="56">
        <f t="shared" si="127"/>
        <v>20.27972027972028</v>
      </c>
      <c r="M64" s="56">
        <f t="shared" ref="M64:O64" si="128">M61/M63*100</f>
        <v>7.1057192374350082</v>
      </c>
      <c r="N64" s="56">
        <f t="shared" si="128"/>
        <v>49.310344827586206</v>
      </c>
      <c r="O64" s="56">
        <f t="shared" si="128"/>
        <v>42.538593481989707</v>
      </c>
      <c r="P64" s="56">
        <f t="shared" ref="P64" si="129">P61/P63*100</f>
        <v>14.529914529914532</v>
      </c>
      <c r="Q64" s="28">
        <f>Q61/$L$63*100</f>
        <v>26.599513254582842</v>
      </c>
      <c r="R64" s="28">
        <f>R61/$L$63*100</f>
        <v>15.673062722666279</v>
      </c>
      <c r="S64" s="28">
        <f>S61/$L$63*100</f>
        <v>25.679163943737706</v>
      </c>
      <c r="T64" s="28">
        <f>T61/$L$63*100</f>
        <v>32.311516184584029</v>
      </c>
      <c r="U64" s="28">
        <f t="shared" ref="U64:V64" si="130">U61/$L$63*100</f>
        <v>41.267787043384466</v>
      </c>
      <c r="V64" s="28">
        <f t="shared" si="130"/>
        <v>47.234764756706269</v>
      </c>
      <c r="W64" s="28">
        <f t="shared" ref="W64" si="131">W61/$L$63*100</f>
        <v>43.52561487569718</v>
      </c>
    </row>
    <row r="65" spans="2:23" x14ac:dyDescent="0.3">
      <c r="B65" s="1" t="s">
        <v>273</v>
      </c>
      <c r="E65" s="56">
        <f>INDEX('p&amp;l'!$B$5:$CO$107,MATCH($B65,'p&amp;l'!$A$5:$A$107,0),MATCH(E$6,'p&amp;l'!$B$3:$CO$3,0))</f>
        <v>58.1</v>
      </c>
      <c r="F65" s="56">
        <f>INDEX('p&amp;l'!$B$5:$CO$107,MATCH($B65,'p&amp;l'!$A$5:$A$107,0),MATCH(F$6,'p&amp;l'!$B$3:$CO$3,0))</f>
        <v>58.1</v>
      </c>
      <c r="G65" s="56">
        <f>INDEX('p&amp;l'!$B$5:$CO$107,MATCH($B65,'p&amp;l'!$A$5:$A$107,0),MATCH(G$6,'p&amp;l'!$B$3:$CO$3,0))</f>
        <v>58.1</v>
      </c>
      <c r="H65" s="56">
        <f>INDEX('p&amp;l'!$B$5:$CO$107,MATCH($B65,'p&amp;l'!$A$5:$A$107,0),MATCH(H$6,'p&amp;l'!$B$3:$CO$3,0))</f>
        <v>58.8</v>
      </c>
      <c r="I65" s="56">
        <f>INDEX('p&amp;l'!$B$5:$CO$107,MATCH($B65,'p&amp;l'!$A$5:$A$107,0),MATCH(I$6,'p&amp;l'!$B$3:$CO$3,0))</f>
        <v>58.5</v>
      </c>
      <c r="J65" s="56">
        <f>INDEX('p&amp;l'!$B$5:$CO$107,MATCH($B65,'p&amp;l'!$A$5:$A$107,0),MATCH(J$6,'p&amp;l'!$B$3:$CO$3,0))</f>
        <v>57.8</v>
      </c>
      <c r="K65" s="56">
        <f>INDEX('p&amp;l'!$B$5:$CO$107,MATCH($B65,'p&amp;l'!$A$5:$A$107,0),MATCH(K$6,'p&amp;l'!$B$3:$CO$3,0))</f>
        <v>58</v>
      </c>
      <c r="L65" s="56">
        <f>INDEX('p&amp;l'!$B$5:$CO$107,MATCH($B65,'p&amp;l'!$A$5:$A$107,0),MATCH(L$6,'p&amp;l'!$B$3:$CO$3,0))</f>
        <v>58</v>
      </c>
      <c r="M65" s="56">
        <f>INDEX('p&amp;l'!$B$5:$CO$107,MATCH($B65,'p&amp;l'!$A$5:$A$107,0),MATCH(M$6,'p&amp;l'!$B$3:$CO$3,0))</f>
        <v>58.5</v>
      </c>
      <c r="N65" s="56">
        <f>INDEX('p&amp;l'!$B$5:$CO$107,MATCH($B65,'p&amp;l'!$A$5:$A$107,0),MATCH(N$6,'p&amp;l'!$B$3:$CO$3,0))</f>
        <v>58.7</v>
      </c>
      <c r="O65" s="56">
        <f>INDEX('p&amp;l'!$B$5:$CO$107,MATCH($B65,'p&amp;l'!$A$5:$A$107,0),MATCH(O$6,'p&amp;l'!$B$3:$CO$3,0))</f>
        <v>58.9</v>
      </c>
      <c r="P65" s="56">
        <f>INDEX('p&amp;l'!$B$5:$CO$107,MATCH($B65,'p&amp;l'!$A$5:$A$107,0),MATCH(P$6,'p&amp;l'!$B$3:$CO$3,0))</f>
        <v>58.9</v>
      </c>
      <c r="Q65" s="84"/>
      <c r="R65" s="84"/>
      <c r="S65" s="84"/>
      <c r="T65" s="84"/>
      <c r="U65" s="84"/>
      <c r="V65" s="84"/>
      <c r="W65" s="84"/>
    </row>
    <row r="66" spans="2:23" x14ac:dyDescent="0.3">
      <c r="B66" s="1" t="s">
        <v>301</v>
      </c>
      <c r="E66" s="56">
        <f>E61/E65*100</f>
        <v>4.6471600688468158</v>
      </c>
      <c r="F66" s="56">
        <f t="shared" ref="F66:L66" si="132">F61/F65*100</f>
        <v>7.9173838209982792</v>
      </c>
      <c r="G66" s="56">
        <f t="shared" si="132"/>
        <v>8.6058519793459549</v>
      </c>
      <c r="H66" s="56">
        <f t="shared" si="132"/>
        <v>9.0136054421768712</v>
      </c>
      <c r="I66" s="56">
        <f t="shared" si="132"/>
        <v>10.427350427350426</v>
      </c>
      <c r="J66" s="56">
        <f t="shared" si="132"/>
        <v>14.705882352941178</v>
      </c>
      <c r="K66" s="56">
        <f t="shared" si="132"/>
        <v>18.448275862068968</v>
      </c>
      <c r="L66" s="56">
        <f t="shared" si="132"/>
        <v>20</v>
      </c>
      <c r="M66" s="56">
        <f t="shared" ref="M66:O66" si="133">M61/M65*100</f>
        <v>7.0085470085470085</v>
      </c>
      <c r="N66" s="56">
        <f t="shared" si="133"/>
        <v>48.722316865417369</v>
      </c>
      <c r="O66" s="56">
        <f t="shared" si="133"/>
        <v>42.105263157894733</v>
      </c>
      <c r="P66" s="56">
        <f t="shared" ref="P66" si="134">P61/P65*100</f>
        <v>14.431239388794568</v>
      </c>
      <c r="Q66" s="28">
        <f>Q61/$L$65*100</f>
        <v>26.232623416588595</v>
      </c>
      <c r="R66" s="28">
        <f>R61/$L$65*100</f>
        <v>15.456882547181227</v>
      </c>
      <c r="S66" s="28">
        <f>S61/$L$65*100</f>
        <v>25.324968578996497</v>
      </c>
      <c r="T66" s="28">
        <f>T61/$L$65*100</f>
        <v>31.865840099279424</v>
      </c>
      <c r="U66" s="28">
        <f t="shared" ref="U66:V66" si="135">U61/$L$65*100</f>
        <v>40.698576187613646</v>
      </c>
      <c r="V66" s="28">
        <f t="shared" si="135"/>
        <v>46.58325076006205</v>
      </c>
      <c r="W66" s="28">
        <f t="shared" ref="W66" si="136">W61/$L$65*100</f>
        <v>42.925261567066883</v>
      </c>
    </row>
    <row r="67" spans="2:23" x14ac:dyDescent="0.3">
      <c r="E67" s="82"/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  <c r="R67" s="84"/>
      <c r="S67" s="84"/>
      <c r="T67" s="84"/>
      <c r="U67" s="84"/>
      <c r="V67" s="84"/>
      <c r="W67" s="84"/>
    </row>
    <row r="68" spans="2:23" x14ac:dyDescent="0.3">
      <c r="B68" s="21" t="s">
        <v>42</v>
      </c>
      <c r="D68" s="71" t="s">
        <v>140</v>
      </c>
      <c r="E68" s="87">
        <f>INDEX('p&amp;l'!$B$5:$CO$107,MATCH($D68,'p&amp;l'!$A$5:$A$107,0),MATCH(E$6,'p&amp;l'!$B$3:$CO$3,0))</f>
        <v>2.7</v>
      </c>
      <c r="F68" s="87">
        <f>INDEX('p&amp;l'!$B$5:$CO$107,MATCH($D68,'p&amp;l'!$A$5:$A$107,0),MATCH(F$6,'p&amp;l'!$B$3:$CO$3,0))</f>
        <v>4.5999999999999996</v>
      </c>
      <c r="G68" s="87">
        <f>INDEX('p&amp;l'!$B$5:$CO$107,MATCH($D68,'p&amp;l'!$A$5:$A$107,0),MATCH(G$6,'p&amp;l'!$B$3:$CO$3,0))</f>
        <v>5</v>
      </c>
      <c r="H68" s="87">
        <f>INDEX('p&amp;l'!$B$5:$CO$107,MATCH($D68,'p&amp;l'!$A$5:$A$107,0),MATCH(H$6,'p&amp;l'!$B$3:$CO$3,0))</f>
        <v>5.5</v>
      </c>
      <c r="I68" s="87">
        <f>INDEX('p&amp;l'!$B$5:$CO$107,MATCH($D68,'p&amp;l'!$A$5:$A$107,0),MATCH(I$6,'p&amp;l'!$B$3:$CO$3,0))</f>
        <v>6.3</v>
      </c>
      <c r="J68" s="87">
        <f>INDEX('p&amp;l'!$B$5:$CO$107,MATCH($D68,'p&amp;l'!$A$5:$A$107,0),MATCH(J$6,'p&amp;l'!$B$3:$CO$3,0))</f>
        <v>8.6</v>
      </c>
      <c r="K68" s="87">
        <f>INDEX('p&amp;l'!$B$5:$CO$107,MATCH($D68,'p&amp;l'!$A$5:$A$107,0),MATCH(K$6,'p&amp;l'!$B$3:$CO$3,0))</f>
        <v>10.5</v>
      </c>
      <c r="L68" s="87">
        <f>INDEX('p&amp;l'!$B$5:$CO$107,MATCH($D68,'p&amp;l'!$A$5:$A$107,0),MATCH(L$6,'p&amp;l'!$B$3:$CO$3,0))</f>
        <v>11.7</v>
      </c>
      <c r="M68" s="87">
        <f>INDEX('p&amp;l'!$B$5:$CO$107,MATCH($D68,'p&amp;l'!$A$5:$A$107,0),MATCH(M$6,'p&amp;l'!$B$3:$CO$3,0))</f>
        <v>4.0999999999999996</v>
      </c>
      <c r="N68" s="87">
        <f>INDEX('p&amp;l'!$B$5:$CO$107,MATCH($D68,'p&amp;l'!$A$5:$A$107,0),MATCH(N$6,'p&amp;l'!$B$3:$CO$3,0))</f>
        <v>28.3</v>
      </c>
      <c r="O68" s="87">
        <f>INDEX('p&amp;l'!$B$5:$CO$107,MATCH($D68,'p&amp;l'!$A$5:$A$107,0),MATCH(O$6,'p&amp;l'!$B$3:$CO$3,0))</f>
        <v>24.8</v>
      </c>
      <c r="P68" s="87">
        <f>INDEX('p&amp;l'!$B$5:$CO$107,MATCH($D68,'p&amp;l'!$A$5:$A$107,0),MATCH(P$6,'p&amp;l'!$B$3:$CO$3,0))</f>
        <v>8.4</v>
      </c>
      <c r="Q68" s="87"/>
      <c r="R68" s="87"/>
      <c r="S68" s="87"/>
      <c r="T68" s="87"/>
      <c r="U68" s="87"/>
      <c r="V68" s="87"/>
      <c r="W68" s="87"/>
    </row>
    <row r="69" spans="2:23" x14ac:dyDescent="0.3">
      <c r="B69" s="21" t="s">
        <v>24</v>
      </c>
      <c r="E69" s="57">
        <f t="shared" ref="E69:F69" si="137">ROUND(E68-E61,0)</f>
        <v>0</v>
      </c>
      <c r="F69" s="57">
        <f t="shared" si="137"/>
        <v>0</v>
      </c>
      <c r="G69" s="57">
        <f>ROUND(G68-G61,0)</f>
        <v>0</v>
      </c>
      <c r="H69" s="57">
        <f t="shared" ref="H69:L69" si="138">ROUND(H68-H61,0)</f>
        <v>0</v>
      </c>
      <c r="I69" s="57">
        <f t="shared" si="138"/>
        <v>0</v>
      </c>
      <c r="J69" s="57">
        <f t="shared" si="138"/>
        <v>0</v>
      </c>
      <c r="K69" s="57">
        <f t="shared" si="138"/>
        <v>0</v>
      </c>
      <c r="L69" s="57">
        <f t="shared" si="138"/>
        <v>0</v>
      </c>
      <c r="M69" s="57">
        <f t="shared" ref="M69:O69" si="139">ROUND(M68-M61,0)</f>
        <v>0</v>
      </c>
      <c r="N69" s="57">
        <f>ROUND(N68-N61,0)</f>
        <v>0</v>
      </c>
      <c r="O69" s="57">
        <f t="shared" si="139"/>
        <v>0</v>
      </c>
      <c r="P69" s="57">
        <f t="shared" ref="P69" si="140">ROUND(P68-P61,0)</f>
        <v>0</v>
      </c>
      <c r="Q69" s="30"/>
      <c r="R69" s="30"/>
      <c r="S69" s="30"/>
      <c r="T69" s="30"/>
      <c r="U69" s="30"/>
      <c r="V69" s="30"/>
      <c r="W69" s="30"/>
    </row>
    <row r="70" spans="2:23" x14ac:dyDescent="0.3">
      <c r="E70" s="82"/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84"/>
      <c r="S70" s="84"/>
      <c r="T70" s="84"/>
      <c r="U70" s="84"/>
      <c r="V70" s="84"/>
      <c r="W70" s="84"/>
    </row>
    <row r="71" spans="2:23" x14ac:dyDescent="0.3">
      <c r="B71" s="2" t="s">
        <v>45</v>
      </c>
      <c r="C71" s="3"/>
      <c r="D71" s="5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5"/>
      <c r="R71" s="86"/>
      <c r="S71" s="86"/>
      <c r="T71" s="86"/>
      <c r="U71" s="86"/>
      <c r="V71" s="86"/>
      <c r="W71" s="86"/>
    </row>
    <row r="72" spans="2:23" x14ac:dyDescent="0.3">
      <c r="D72" s="24"/>
      <c r="E72" s="82"/>
      <c r="F72" s="82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  <c r="R72" s="84"/>
      <c r="S72" s="84"/>
      <c r="T72" s="84"/>
      <c r="U72" s="84"/>
      <c r="V72" s="84"/>
      <c r="W72" s="84"/>
    </row>
    <row r="73" spans="2:23" x14ac:dyDescent="0.3">
      <c r="B73" s="1" t="s">
        <v>47</v>
      </c>
      <c r="E73" s="56">
        <f>E57</f>
        <v>3</v>
      </c>
      <c r="F73" s="56">
        <f t="shared" ref="F73:L73" si="141">F57</f>
        <v>5.2</v>
      </c>
      <c r="G73" s="56">
        <f t="shared" si="141"/>
        <v>5.7</v>
      </c>
      <c r="H73" s="56">
        <f t="shared" si="141"/>
        <v>6.3</v>
      </c>
      <c r="I73" s="56">
        <f t="shared" si="141"/>
        <v>7.1</v>
      </c>
      <c r="J73" s="56">
        <f t="shared" si="141"/>
        <v>9.5</v>
      </c>
      <c r="K73" s="56">
        <f t="shared" si="141"/>
        <v>11.9</v>
      </c>
      <c r="L73" s="56">
        <f t="shared" si="141"/>
        <v>12.8</v>
      </c>
      <c r="M73" s="56">
        <f t="shared" ref="M73:O73" si="142">M57</f>
        <v>7.5</v>
      </c>
      <c r="N73" s="56">
        <f t="shared" si="142"/>
        <v>35.799999999999997</v>
      </c>
      <c r="O73" s="56">
        <f t="shared" si="142"/>
        <v>31.099999999999998</v>
      </c>
      <c r="P73" s="56">
        <f t="shared" ref="P73" si="143">P57</f>
        <v>11.5</v>
      </c>
      <c r="Q73" s="28">
        <f t="shared" ref="Q73:T73" si="144">Q57</f>
        <v>22.125925925925927</v>
      </c>
      <c r="R73" s="28">
        <f t="shared" si="144"/>
        <v>13.232050137348313</v>
      </c>
      <c r="S73" s="28">
        <f t="shared" si="144"/>
        <v>20.86337000195212</v>
      </c>
      <c r="T73" s="28">
        <f t="shared" si="144"/>
        <v>25.921643977637583</v>
      </c>
      <c r="U73" s="28">
        <f t="shared" ref="U73:V73" si="145">U57</f>
        <v>32.75229321928272</v>
      </c>
      <c r="V73" s="28">
        <f t="shared" si="145"/>
        <v>37.303108221976146</v>
      </c>
      <c r="W73" s="28">
        <f t="shared" ref="W73" si="146">W57</f>
        <v>34.474263246059884</v>
      </c>
    </row>
    <row r="74" spans="2:23" x14ac:dyDescent="0.3">
      <c r="B74" s="1" t="s">
        <v>157</v>
      </c>
      <c r="E74" s="56">
        <f>INDEX(cf!$B$5:$CO$107,MATCH($B74,cf!$A$5:$A$107,0),MATCH(E$6,cf!$B$3:$CO$3,0))</f>
        <v>-1.6</v>
      </c>
      <c r="F74" s="56">
        <f>INDEX(cf!$B$5:$CO$107,MATCH($B74,cf!$A$5:$A$107,0),MATCH(F$6,cf!$B$3:$CO$3,0))</f>
        <v>-4.5</v>
      </c>
      <c r="G74" s="56">
        <f>INDEX(cf!$B$5:$CO$107,MATCH($B74,cf!$A$5:$A$107,0),MATCH(G$6,cf!$B$3:$CO$3,0))</f>
        <v>2.2000000000000002</v>
      </c>
      <c r="H74" s="56">
        <f>INDEX(cf!$B$5:$CO$107,MATCH($B74,cf!$A$5:$A$107,0),MATCH(H$6,cf!$B$3:$CO$3,0))</f>
        <v>-1.7</v>
      </c>
      <c r="I74" s="56">
        <f>INDEX(cf!$B$5:$CO$107,MATCH($B74,cf!$A$5:$A$107,0),MATCH(I$6,cf!$B$3:$CO$3,0))</f>
        <v>-6</v>
      </c>
      <c r="J74" s="56">
        <f>INDEX(cf!$B$5:$CO$107,MATCH($B74,cf!$A$5:$A$107,0),MATCH(J$6,cf!$B$3:$CO$3,0))</f>
        <v>0.4</v>
      </c>
      <c r="K74" s="56">
        <f>INDEX(cf!$B$5:$CO$107,MATCH($B74,cf!$A$5:$A$107,0),MATCH(K$6,cf!$B$3:$CO$3,0))</f>
        <v>-0.4</v>
      </c>
      <c r="L74" s="56">
        <f>INDEX(cf!$B$5:$CO$107,MATCH($B74,cf!$A$5:$A$107,0),MATCH(L$6,cf!$B$3:$CO$3,0))</f>
        <v>-2.2000000000000002</v>
      </c>
      <c r="M74" s="56">
        <f>INDEX(cf!$B$5:$CO$107,MATCH($B74,cf!$A$5:$A$107,0),MATCH(M$6,cf!$B$3:$CO$3,0))</f>
        <v>13.7</v>
      </c>
      <c r="N74" s="56">
        <f>INDEX(cf!$B$5:$CO$107,MATCH($B74,cf!$A$5:$A$107,0),MATCH(N$6,cf!$B$3:$CO$3,0))</f>
        <v>1.7</v>
      </c>
      <c r="O74" s="56">
        <f>INDEX(cf!$B$5:$CO$107,MATCH($B74,cf!$A$5:$A$107,0),MATCH(O$6,cf!$B$3:$CO$3,0))</f>
        <v>-26.9</v>
      </c>
      <c r="P74" s="56">
        <f>INDEX(cf!$B$5:$CO$107,MATCH($B74,cf!$A$5:$A$107,0),MATCH(P$6,cf!$B$3:$CO$3,0))</f>
        <v>-10.4</v>
      </c>
      <c r="Q74" s="28">
        <f>O13-Q13+Q24-O24</f>
        <v>9.1592069719908551</v>
      </c>
      <c r="R74" s="28">
        <f>Q13-R13+R24-Q24</f>
        <v>7.4967187044445467</v>
      </c>
      <c r="S74" s="28">
        <f>R13-S13+S24-R24</f>
        <v>-6.8503382459945286</v>
      </c>
      <c r="T74" s="28">
        <f>S13-T13+T24-S24</f>
        <v>-6.3587291602256926</v>
      </c>
      <c r="U74" s="28">
        <f t="shared" ref="U74" si="147">T13-U13+U24-T24</f>
        <v>-6.5362822739141606</v>
      </c>
      <c r="V74" s="28">
        <f t="shared" ref="V74:W74" si="148">U13-V13+V24-U24</f>
        <v>-6.4190782318852015</v>
      </c>
      <c r="W74" s="28">
        <f t="shared" si="148"/>
        <v>-1.972340089423362</v>
      </c>
    </row>
    <row r="75" spans="2:23" x14ac:dyDescent="0.3">
      <c r="B75" s="1" t="s">
        <v>48</v>
      </c>
      <c r="E75" s="56">
        <f>-E56</f>
        <v>1.4000000000000004</v>
      </c>
      <c r="F75" s="56">
        <f t="shared" ref="F75:L75" si="149">-F56</f>
        <v>1.7999999999999998</v>
      </c>
      <c r="G75" s="56">
        <f t="shared" si="149"/>
        <v>1.8999999999999995</v>
      </c>
      <c r="H75" s="56">
        <f t="shared" si="149"/>
        <v>2.2999999999999998</v>
      </c>
      <c r="I75" s="56">
        <f t="shared" si="149"/>
        <v>2.5999999999999996</v>
      </c>
      <c r="J75" s="56">
        <f t="shared" si="149"/>
        <v>3.5999999999999996</v>
      </c>
      <c r="K75" s="56">
        <f t="shared" si="149"/>
        <v>3.5999999999999996</v>
      </c>
      <c r="L75" s="56">
        <f t="shared" si="149"/>
        <v>3.5999999999999979</v>
      </c>
      <c r="M75" s="56">
        <f t="shared" ref="M75:O75" si="150">-M56</f>
        <v>8.6000000000000014</v>
      </c>
      <c r="N75" s="56">
        <f t="shared" si="150"/>
        <v>10.100000000000001</v>
      </c>
      <c r="O75" s="56">
        <f t="shared" si="150"/>
        <v>9.6999999999999993</v>
      </c>
      <c r="P75" s="56">
        <f t="shared" ref="P75" si="151">-P56</f>
        <v>5.3999999999999986</v>
      </c>
      <c r="Q75" s="28">
        <f t="shared" ref="Q75:T75" si="152">-Q56</f>
        <v>11.67407407407407</v>
      </c>
      <c r="R75" s="28">
        <f t="shared" si="152"/>
        <v>10.671993842770188</v>
      </c>
      <c r="S75" s="28">
        <f t="shared" si="152"/>
        <v>10.526733894065933</v>
      </c>
      <c r="T75" s="28">
        <f t="shared" si="152"/>
        <v>10.575287078900377</v>
      </c>
      <c r="U75" s="28">
        <f t="shared" ref="U75:V75" si="153">-U56</f>
        <v>10.77745413104377</v>
      </c>
      <c r="V75" s="28">
        <f t="shared" si="153"/>
        <v>11.09118060871695</v>
      </c>
      <c r="W75" s="28">
        <f t="shared" ref="W75" si="154">-W56</f>
        <v>11.473052270634144</v>
      </c>
    </row>
    <row r="76" spans="2:23" x14ac:dyDescent="0.3">
      <c r="B76" s="1" t="s">
        <v>49</v>
      </c>
      <c r="E76" s="56">
        <f>E60</f>
        <v>-0.3</v>
      </c>
      <c r="F76" s="56">
        <f t="shared" ref="F76:L76" si="155">F60</f>
        <v>-0.6</v>
      </c>
      <c r="G76" s="56">
        <f t="shared" si="155"/>
        <v>-0.8</v>
      </c>
      <c r="H76" s="56">
        <f t="shared" si="155"/>
        <v>-1</v>
      </c>
      <c r="I76" s="56">
        <f t="shared" si="155"/>
        <v>-0.9</v>
      </c>
      <c r="J76" s="56">
        <f t="shared" si="155"/>
        <v>-1</v>
      </c>
      <c r="K76" s="56">
        <f t="shared" si="155"/>
        <v>-1.2</v>
      </c>
      <c r="L76" s="56">
        <f t="shared" si="155"/>
        <v>-1.3</v>
      </c>
      <c r="M76" s="56">
        <f t="shared" ref="M76:O76" si="156">M60</f>
        <v>-2.9</v>
      </c>
      <c r="N76" s="56">
        <f t="shared" si="156"/>
        <v>-6.8</v>
      </c>
      <c r="O76" s="56">
        <f t="shared" si="156"/>
        <v>-5.8</v>
      </c>
      <c r="P76" s="56">
        <f t="shared" ref="P76" si="157">P60</f>
        <v>-2.4</v>
      </c>
      <c r="Q76" s="28">
        <f t="shared" ref="Q76:T76" si="158">Q60</f>
        <v>-5.0716405272071281</v>
      </c>
      <c r="R76" s="28">
        <f t="shared" si="158"/>
        <v>-2.9883306257883704</v>
      </c>
      <c r="S76" s="28">
        <f t="shared" si="158"/>
        <v>-4.8961605919393225</v>
      </c>
      <c r="T76" s="28">
        <f t="shared" si="158"/>
        <v>-6.1607290858606882</v>
      </c>
      <c r="U76" s="28">
        <f t="shared" ref="U76:V76" si="159">U60</f>
        <v>-7.8683913962719725</v>
      </c>
      <c r="V76" s="28">
        <f t="shared" si="159"/>
        <v>-9.006095146945329</v>
      </c>
      <c r="W76" s="28">
        <f t="shared" ref="W76" si="160">W60</f>
        <v>-8.2988839029662635</v>
      </c>
    </row>
    <row r="77" spans="2:23" x14ac:dyDescent="0.3">
      <c r="B77" s="1" t="s">
        <v>46</v>
      </c>
      <c r="E77" s="56">
        <f>E78-SUM(E73:E76)</f>
        <v>-0.40000000000000036</v>
      </c>
      <c r="F77" s="56">
        <f t="shared" ref="F77:L77" si="161">F78-SUM(F73:F76)</f>
        <v>0.5</v>
      </c>
      <c r="G77" s="56">
        <f t="shared" si="161"/>
        <v>-0.19999999999999929</v>
      </c>
      <c r="H77" s="56">
        <f t="shared" si="161"/>
        <v>0.30000000000000071</v>
      </c>
      <c r="I77" s="56">
        <f t="shared" si="161"/>
        <v>1.1000000000000005</v>
      </c>
      <c r="J77" s="56">
        <f t="shared" si="161"/>
        <v>0.59999999999999964</v>
      </c>
      <c r="K77" s="56">
        <f t="shared" si="161"/>
        <v>0.59999999999999964</v>
      </c>
      <c r="L77" s="56">
        <f t="shared" si="161"/>
        <v>1.1000000000000014</v>
      </c>
      <c r="M77" s="56">
        <f t="shared" ref="M77:O77" si="162">M78-SUM(M73:M76)</f>
        <v>9.6999999999999993</v>
      </c>
      <c r="N77" s="56">
        <f t="shared" si="162"/>
        <v>-2.3000000000000043</v>
      </c>
      <c r="O77" s="56">
        <f t="shared" si="162"/>
        <v>0.40000000000000213</v>
      </c>
      <c r="P77" s="56">
        <f t="shared" ref="P77" si="163">P78-SUM(P73:P76)</f>
        <v>-0.69999999999999796</v>
      </c>
      <c r="Q77" s="28">
        <f t="shared" ref="Q77:T77" si="164">Q58</f>
        <v>-1.8393638170974154</v>
      </c>
      <c r="R77" s="28">
        <f t="shared" si="164"/>
        <v>-1.278727634194831</v>
      </c>
      <c r="S77" s="28">
        <f t="shared" si="164"/>
        <v>-1.278727634194831</v>
      </c>
      <c r="T77" s="28">
        <f t="shared" si="164"/>
        <v>-1.278727634194831</v>
      </c>
      <c r="U77" s="28">
        <f t="shared" ref="U77:V77" si="165">U58</f>
        <v>-1.278727634194831</v>
      </c>
      <c r="V77" s="28">
        <f t="shared" si="165"/>
        <v>-1.278727634194831</v>
      </c>
      <c r="W77" s="28">
        <f t="shared" ref="W77" si="166">W58</f>
        <v>-1.278727634194831</v>
      </c>
    </row>
    <row r="78" spans="2:23" ht="15" thickBot="1" x14ac:dyDescent="0.35">
      <c r="B78" s="17" t="s">
        <v>160</v>
      </c>
      <c r="C78" s="17"/>
      <c r="D78" s="17"/>
      <c r="E78" s="80">
        <f>INDEX(cf!$B$5:$CO$107,MATCH($B78,cf!$A$5:$A$107,0),MATCH(E$6,cf!$B$3:$CO$3,0))</f>
        <v>2.1</v>
      </c>
      <c r="F78" s="80">
        <f>INDEX(cf!$B$5:$CO$107,MATCH($B78,cf!$A$5:$A$107,0),MATCH(F$6,cf!$B$3:$CO$3,0))</f>
        <v>2.4</v>
      </c>
      <c r="G78" s="80">
        <f>INDEX(cf!$B$5:$CO$107,MATCH($B78,cf!$A$5:$A$107,0),MATCH(G$6,cf!$B$3:$CO$3,0))</f>
        <v>8.8000000000000007</v>
      </c>
      <c r="H78" s="80">
        <f>INDEX(cf!$B$5:$CO$107,MATCH($B78,cf!$A$5:$A$107,0),MATCH(H$6,cf!$B$3:$CO$3,0))</f>
        <v>6.2</v>
      </c>
      <c r="I78" s="80">
        <f>INDEX(cf!$B$5:$CO$107,MATCH($B78,cf!$A$5:$A$107,0),MATCH(I$6,cf!$B$3:$CO$3,0))</f>
        <v>3.9</v>
      </c>
      <c r="J78" s="80">
        <f>INDEX(cf!$B$5:$CO$107,MATCH($B78,cf!$A$5:$A$107,0),MATCH(J$6,cf!$B$3:$CO$3,0))</f>
        <v>13.1</v>
      </c>
      <c r="K78" s="80">
        <f>INDEX(cf!$B$5:$CO$107,MATCH($B78,cf!$A$5:$A$107,0),MATCH(K$6,cf!$B$3:$CO$3,0))</f>
        <v>14.5</v>
      </c>
      <c r="L78" s="80">
        <f>INDEX(cf!$B$5:$CO$107,MATCH($B78,cf!$A$5:$A$107,0),MATCH(L$6,cf!$B$3:$CO$3,0))</f>
        <v>14</v>
      </c>
      <c r="M78" s="80">
        <f>INDEX(cf!$B$5:$CO$107,MATCH($B78,cf!$A$5:$A$107,0),MATCH(M$6,cf!$B$3:$CO$3,0))</f>
        <v>36.6</v>
      </c>
      <c r="N78" s="80">
        <f>INDEX(cf!$B$5:$CO$107,MATCH($B78,cf!$A$5:$A$107,0),MATCH(N$6,cf!$B$3:$CO$3,0))</f>
        <v>38.5</v>
      </c>
      <c r="O78" s="80">
        <f>INDEX(cf!$B$5:$CO$107,MATCH($B78,cf!$A$5:$A$107,0),MATCH(O$6,cf!$B$3:$CO$3,0))</f>
        <v>8.5</v>
      </c>
      <c r="P78" s="80">
        <f>INDEX(cf!$B$5:$CO$107,MATCH($B78,cf!$A$5:$A$107,0),MATCH(P$6,cf!$B$3:$CO$3,0))</f>
        <v>3.4</v>
      </c>
      <c r="Q78" s="81">
        <f t="shared" ref="Q78:T78" si="167">SUM(Q73:Q77)</f>
        <v>36.048202627686308</v>
      </c>
      <c r="R78" s="81">
        <f t="shared" si="167"/>
        <v>27.133704424579847</v>
      </c>
      <c r="S78" s="81">
        <f t="shared" si="167"/>
        <v>18.364877423889375</v>
      </c>
      <c r="T78" s="81">
        <f t="shared" si="167"/>
        <v>22.69874517625675</v>
      </c>
      <c r="U78" s="81">
        <f t="shared" ref="U78:V78" si="168">SUM(U73:U77)</f>
        <v>27.846346045945523</v>
      </c>
      <c r="V78" s="81">
        <f t="shared" si="168"/>
        <v>31.690387817667734</v>
      </c>
      <c r="W78" s="81">
        <f t="shared" ref="W78" si="169">SUM(W73:W77)</f>
        <v>34.397363890109567</v>
      </c>
    </row>
    <row r="79" spans="2:23" ht="15" thickTop="1" x14ac:dyDescent="0.3">
      <c r="B79" s="1" t="s">
        <v>161</v>
      </c>
      <c r="E79" s="56">
        <f>INDEX(cf!$B$5:$CO$107,MATCH($B79,cf!$A$5:$A$107,0),MATCH(E$6,cf!$B$3:$CO$3,0))</f>
        <v>-1.8</v>
      </c>
      <c r="F79" s="56">
        <f>INDEX(cf!$B$5:$CO$107,MATCH($B79,cf!$A$5:$A$107,0),MATCH(F$6,cf!$B$3:$CO$3,0))</f>
        <v>-2.1</v>
      </c>
      <c r="G79" s="56">
        <f>INDEX(cf!$B$5:$CO$107,MATCH($B79,cf!$A$5:$A$107,0),MATCH(G$6,cf!$B$3:$CO$3,0))</f>
        <v>-2.7</v>
      </c>
      <c r="H79" s="56">
        <f>INDEX(cf!$B$5:$CO$107,MATCH($B79,cf!$A$5:$A$107,0),MATCH(H$6,cf!$B$3:$CO$3,0))</f>
        <v>-3.6</v>
      </c>
      <c r="I79" s="56">
        <f>INDEX(cf!$B$5:$CO$107,MATCH($B79,cf!$A$5:$A$107,0),MATCH(I$6,cf!$B$3:$CO$3,0))</f>
        <v>-3.7</v>
      </c>
      <c r="J79" s="56">
        <f>INDEX(cf!$B$5:$CO$107,MATCH($B79,cf!$A$5:$A$107,0),MATCH(J$6,cf!$B$3:$CO$3,0))</f>
        <v>-3.6</v>
      </c>
      <c r="K79" s="56">
        <f>INDEX(cf!$B$5:$CO$107,MATCH($B79,cf!$A$5:$A$107,0),MATCH(K$6,cf!$B$3:$CO$3,0))</f>
        <v>-4.5</v>
      </c>
      <c r="L79" s="56">
        <f>INDEX(cf!$B$5:$CO$107,MATCH($B79,cf!$A$5:$A$107,0),MATCH(L$6,cf!$B$3:$CO$3,0))</f>
        <v>-5</v>
      </c>
      <c r="M79" s="56">
        <f>INDEX(cf!$B$5:$CO$107,MATCH($B79,cf!$A$5:$A$107,0),MATCH(M$6,cf!$B$3:$CO$3,0))</f>
        <v>-9.6</v>
      </c>
      <c r="N79" s="56">
        <f>INDEX(cf!$B$5:$CO$107,MATCH($B79,cf!$A$5:$A$107,0),MATCH(N$6,cf!$B$3:$CO$3,0))</f>
        <v>-6.6</v>
      </c>
      <c r="O79" s="56">
        <f>INDEX(cf!$B$5:$CO$107,MATCH($B79,cf!$A$5:$A$107,0),MATCH(O$6,cf!$B$3:$CO$3,0))</f>
        <v>-12.5</v>
      </c>
      <c r="P79" s="56">
        <f>INDEX(cf!$B$5:$CO$107,MATCH($B79,cf!$A$5:$A$107,0),MATCH(P$6,cf!$B$3:$CO$3,0))</f>
        <v>-6.5</v>
      </c>
      <c r="Q79" s="28">
        <f>-summary!Q37</f>
        <v>-10.810032512772876</v>
      </c>
      <c r="R79" s="28">
        <f>-summary!R37</f>
        <v>-9.6914891890164583</v>
      </c>
      <c r="S79" s="28">
        <f>-summary!S37</f>
        <v>-10.854467891698434</v>
      </c>
      <c r="T79" s="28">
        <f>-summary!T37</f>
        <v>-11.939914680868279</v>
      </c>
      <c r="U79" s="28">
        <f>-summary!U37</f>
        <v>-12.89510785533774</v>
      </c>
      <c r="V79" s="28">
        <f>-summary!V37</f>
        <v>-13.668814326658007</v>
      </c>
      <c r="W79" s="28">
        <f>-summary!W37</f>
        <v>-14.215566899724328</v>
      </c>
    </row>
    <row r="80" spans="2:23" x14ac:dyDescent="0.3">
      <c r="B80" s="1" t="s">
        <v>162</v>
      </c>
      <c r="E80" s="56">
        <f>INDEX(cf!$B$5:$CO$107,MATCH($B80,cf!$A$5:$A$107,0),MATCH(E$6,cf!$B$3:$CO$3,0))</f>
        <v>0</v>
      </c>
      <c r="F80" s="56">
        <f>INDEX(cf!$B$5:$CO$107,MATCH($B80,cf!$A$5:$A$107,0),MATCH(F$6,cf!$B$3:$CO$3,0))</f>
        <v>0</v>
      </c>
      <c r="G80" s="56">
        <f>INDEX(cf!$B$5:$CO$107,MATCH($B80,cf!$A$5:$A$107,0),MATCH(G$6,cf!$B$3:$CO$3,0))</f>
        <v>0</v>
      </c>
      <c r="H80" s="56">
        <f>INDEX(cf!$B$5:$CO$107,MATCH($B80,cf!$A$5:$A$107,0),MATCH(H$6,cf!$B$3:$CO$3,0))</f>
        <v>0</v>
      </c>
      <c r="I80" s="56">
        <f>INDEX(cf!$B$5:$CO$107,MATCH($B80,cf!$A$5:$A$107,0),MATCH(I$6,cf!$B$3:$CO$3,0))</f>
        <v>0</v>
      </c>
      <c r="J80" s="56">
        <f>INDEX(cf!$B$5:$CO$107,MATCH($B80,cf!$A$5:$A$107,0),MATCH(J$6,cf!$B$3:$CO$3,0))</f>
        <v>0</v>
      </c>
      <c r="K80" s="56">
        <f>INDEX(cf!$B$5:$CO$107,MATCH($B80,cf!$A$5:$A$107,0),MATCH(K$6,cf!$B$3:$CO$3,0))</f>
        <v>0</v>
      </c>
      <c r="L80" s="56">
        <f>INDEX(cf!$B$5:$CO$107,MATCH($B80,cf!$A$5:$A$107,0),MATCH(L$6,cf!$B$3:$CO$3,0))</f>
        <v>0.1</v>
      </c>
      <c r="M80" s="56">
        <f>INDEX(cf!$B$5:$CO$107,MATCH($B80,cf!$A$5:$A$107,0),MATCH(M$6,cf!$B$3:$CO$3,0))</f>
        <v>0</v>
      </c>
      <c r="N80" s="56">
        <f>INDEX(cf!$B$5:$CO$107,MATCH($B80,cf!$A$5:$A$107,0),MATCH(N$6,cf!$B$3:$CO$3,0))</f>
        <v>0</v>
      </c>
      <c r="O80" s="56">
        <f>INDEX(cf!$B$5:$CO$107,MATCH($B80,cf!$A$5:$A$107,0),MATCH(O$6,cf!$B$3:$CO$3,0))</f>
        <v>0.8</v>
      </c>
      <c r="P80" s="56">
        <f>INDEX(cf!$B$5:$CO$107,MATCH($B80,cf!$A$5:$A$107,0),MATCH(P$6,cf!$B$3:$CO$3,0))</f>
        <v>0</v>
      </c>
      <c r="Q80" s="28"/>
      <c r="R80" s="28"/>
      <c r="S80" s="28"/>
      <c r="T80" s="28"/>
      <c r="U80" s="28"/>
      <c r="V80" s="28"/>
      <c r="W80" s="28"/>
    </row>
    <row r="81" spans="2:23" x14ac:dyDescent="0.3">
      <c r="B81" s="1" t="s">
        <v>50</v>
      </c>
      <c r="E81" s="56">
        <f>INDEX(cf!$B$5:$CO$107,MATCH($B81,cf!$A$5:$A$107,0),MATCH(E$6,cf!$B$3:$CO$3,0))</f>
        <v>0</v>
      </c>
      <c r="F81" s="56">
        <f>INDEX(cf!$B$5:$CO$107,MATCH($B81,cf!$A$5:$A$107,0),MATCH(F$6,cf!$B$3:$CO$3,0))</f>
        <v>0</v>
      </c>
      <c r="G81" s="56">
        <f>INDEX(cf!$B$5:$CO$107,MATCH($B81,cf!$A$5:$A$107,0),MATCH(G$6,cf!$B$3:$CO$3,0))</f>
        <v>0</v>
      </c>
      <c r="H81" s="56">
        <f>INDEX(cf!$B$5:$CO$107,MATCH($B81,cf!$A$5:$A$107,0),MATCH(H$6,cf!$B$3:$CO$3,0))</f>
        <v>0</v>
      </c>
      <c r="I81" s="56">
        <f>INDEX(cf!$B$5:$CO$107,MATCH($B81,cf!$A$5:$A$107,0),MATCH(I$6,cf!$B$3:$CO$3,0))</f>
        <v>0</v>
      </c>
      <c r="J81" s="56">
        <f>INDEX(cf!$B$5:$CO$107,MATCH($B81,cf!$A$5:$A$107,0),MATCH(J$6,cf!$B$3:$CO$3,0))</f>
        <v>0</v>
      </c>
      <c r="K81" s="56">
        <f>INDEX(cf!$B$5:$CO$107,MATCH($B81,cf!$A$5:$A$107,0),MATCH(K$6,cf!$B$3:$CO$3,0))</f>
        <v>0</v>
      </c>
      <c r="L81" s="56">
        <f>INDEX(cf!$B$5:$CO$107,MATCH($B81,cf!$A$5:$A$107,0),MATCH(L$6,cf!$B$3:$CO$3,0))</f>
        <v>-15</v>
      </c>
      <c r="M81" s="56">
        <f>INDEX(cf!$B$5:$CO$107,MATCH($B81,cf!$A$5:$A$107,0),MATCH(M$6,cf!$B$3:$CO$3,0))</f>
        <v>-35.299999999999997</v>
      </c>
      <c r="N81" s="56">
        <f>INDEX(cf!$B$5:$CO$107,MATCH($B81,cf!$A$5:$A$107,0),MATCH(N$6,cf!$B$3:$CO$3,0))</f>
        <v>-13.9</v>
      </c>
      <c r="O81" s="56">
        <f>INDEX(cf!$B$5:$CO$107,MATCH($B81,cf!$A$5:$A$107,0),MATCH(O$6,cf!$B$3:$CO$3,0))</f>
        <v>-10.9</v>
      </c>
      <c r="P81" s="56">
        <f>INDEX(cf!$B$5:$CO$107,MATCH($B81,cf!$A$5:$A$107,0),MATCH(P$6,cf!$B$3:$CO$3,0))</f>
        <v>-7.2</v>
      </c>
      <c r="Q81" s="28"/>
      <c r="R81" s="28"/>
      <c r="S81" s="28"/>
      <c r="T81" s="28"/>
      <c r="U81" s="28"/>
      <c r="V81" s="28"/>
      <c r="W81" s="28"/>
    </row>
    <row r="82" spans="2:23" x14ac:dyDescent="0.3">
      <c r="B82" s="1" t="s">
        <v>166</v>
      </c>
      <c r="E82" s="56">
        <f>INDEX(cf!$B$5:$CO$107,MATCH($B82,cf!$A$5:$A$107,0),MATCH(E$6,cf!$B$3:$CO$3,0))</f>
        <v>0</v>
      </c>
      <c r="F82" s="56">
        <f>INDEX(cf!$B$5:$CO$107,MATCH($B82,cf!$A$5:$A$107,0),MATCH(F$6,cf!$B$3:$CO$3,0))</f>
        <v>0</v>
      </c>
      <c r="G82" s="56">
        <f>INDEX(cf!$B$5:$CO$107,MATCH($B82,cf!$A$5:$A$107,0),MATCH(G$6,cf!$B$3:$CO$3,0))</f>
        <v>0</v>
      </c>
      <c r="H82" s="56">
        <f>INDEX(cf!$B$5:$CO$107,MATCH($B82,cf!$A$5:$A$107,0),MATCH(H$6,cf!$B$3:$CO$3,0))</f>
        <v>0</v>
      </c>
      <c r="I82" s="56">
        <f>INDEX(cf!$B$5:$CO$107,MATCH($B82,cf!$A$5:$A$107,0),MATCH(I$6,cf!$B$3:$CO$3,0))</f>
        <v>0</v>
      </c>
      <c r="J82" s="56">
        <f>INDEX(cf!$B$5:$CO$107,MATCH($B82,cf!$A$5:$A$107,0),MATCH(J$6,cf!$B$3:$CO$3,0))</f>
        <v>0</v>
      </c>
      <c r="K82" s="56">
        <f>INDEX(cf!$B$5:$CO$107,MATCH($B82,cf!$A$5:$A$107,0),MATCH(K$6,cf!$B$3:$CO$3,0))</f>
        <v>0</v>
      </c>
      <c r="L82" s="56">
        <f>INDEX(cf!$B$5:$CO$107,MATCH($B82,cf!$A$5:$A$107,0),MATCH(L$6,cf!$B$3:$CO$3,0))</f>
        <v>0</v>
      </c>
      <c r="M82" s="56">
        <f>INDEX(cf!$B$5:$CO$107,MATCH($B82,cf!$A$5:$A$107,0),MATCH(M$6,cf!$B$3:$CO$3,0))</f>
        <v>0</v>
      </c>
      <c r="N82" s="56">
        <f>INDEX(cf!$B$5:$CO$107,MATCH($B82,cf!$A$5:$A$107,0),MATCH(N$6,cf!$B$3:$CO$3,0))</f>
        <v>0</v>
      </c>
      <c r="O82" s="56">
        <f>INDEX(cf!$B$5:$CO$107,MATCH($B82,cf!$A$5:$A$107,0),MATCH(O$6,cf!$B$3:$CO$3,0))</f>
        <v>0</v>
      </c>
      <c r="P82" s="56">
        <f>INDEX(cf!$B$5:$CO$107,MATCH($B82,cf!$A$5:$A$107,0),MATCH(P$6,cf!$B$3:$CO$3,0))</f>
        <v>0</v>
      </c>
      <c r="Q82" s="28"/>
      <c r="R82" s="28"/>
      <c r="S82" s="28"/>
      <c r="T82" s="28"/>
      <c r="U82" s="28"/>
      <c r="V82" s="28"/>
      <c r="W82" s="28"/>
    </row>
    <row r="83" spans="2:23" x14ac:dyDescent="0.3">
      <c r="B83" s="1" t="s">
        <v>167</v>
      </c>
      <c r="E83" s="56">
        <f>INDEX(cf!$B$5:$CO$107,MATCH($B83,cf!$A$5:$A$107,0),MATCH(E$6,cf!$B$3:$CO$3,0))</f>
        <v>0</v>
      </c>
      <c r="F83" s="56">
        <f>INDEX(cf!$B$5:$CO$107,MATCH($B83,cf!$A$5:$A$107,0),MATCH(F$6,cf!$B$3:$CO$3,0))</f>
        <v>0</v>
      </c>
      <c r="G83" s="56">
        <f>INDEX(cf!$B$5:$CO$107,MATCH($B83,cf!$A$5:$A$107,0),MATCH(G$6,cf!$B$3:$CO$3,0))</f>
        <v>0</v>
      </c>
      <c r="H83" s="56">
        <f>INDEX(cf!$B$5:$CO$107,MATCH($B83,cf!$A$5:$A$107,0),MATCH(H$6,cf!$B$3:$CO$3,0))</f>
        <v>0</v>
      </c>
      <c r="I83" s="56">
        <f>INDEX(cf!$B$5:$CO$107,MATCH($B83,cf!$A$5:$A$107,0),MATCH(I$6,cf!$B$3:$CO$3,0))</f>
        <v>0</v>
      </c>
      <c r="J83" s="56">
        <f>INDEX(cf!$B$5:$CO$107,MATCH($B83,cf!$A$5:$A$107,0),MATCH(J$6,cf!$B$3:$CO$3,0))</f>
        <v>0</v>
      </c>
      <c r="K83" s="56">
        <f>INDEX(cf!$B$5:$CO$107,MATCH($B83,cf!$A$5:$A$107,0),MATCH(K$6,cf!$B$3:$CO$3,0))</f>
        <v>0</v>
      </c>
      <c r="L83" s="56">
        <f>INDEX(cf!$B$5:$CO$107,MATCH($B83,cf!$A$5:$A$107,0),MATCH(L$6,cf!$B$3:$CO$3,0))</f>
        <v>0</v>
      </c>
      <c r="M83" s="56">
        <f>INDEX(cf!$B$5:$CO$107,MATCH($B83,cf!$A$5:$A$107,0),MATCH(M$6,cf!$B$3:$CO$3,0))</f>
        <v>0</v>
      </c>
      <c r="N83" s="56">
        <f>INDEX(cf!$B$5:$CO$107,MATCH($B83,cf!$A$5:$A$107,0),MATCH(N$6,cf!$B$3:$CO$3,0))</f>
        <v>0</v>
      </c>
      <c r="O83" s="56">
        <f>INDEX(cf!$B$5:$CO$107,MATCH($B83,cf!$A$5:$A$107,0),MATCH(O$6,cf!$B$3:$CO$3,0))</f>
        <v>0</v>
      </c>
      <c r="P83" s="56">
        <f>INDEX(cf!$B$5:$CO$107,MATCH($B83,cf!$A$5:$A$107,0),MATCH(P$6,cf!$B$3:$CO$3,0))</f>
        <v>0</v>
      </c>
      <c r="Q83" s="28"/>
      <c r="R83" s="28"/>
      <c r="S83" s="28"/>
      <c r="T83" s="28"/>
      <c r="U83" s="28"/>
      <c r="V83" s="28"/>
      <c r="W83" s="28"/>
    </row>
    <row r="84" spans="2:23" x14ac:dyDescent="0.3">
      <c r="B84" s="1" t="s">
        <v>46</v>
      </c>
      <c r="E84" s="56">
        <f>E85-SUM(E79:E83)</f>
        <v>0</v>
      </c>
      <c r="F84" s="56">
        <f t="shared" ref="F84:L84" si="170">F85-SUM(F79:F83)</f>
        <v>0</v>
      </c>
      <c r="G84" s="56">
        <f t="shared" si="170"/>
        <v>0.10000000000000009</v>
      </c>
      <c r="H84" s="56">
        <f t="shared" si="170"/>
        <v>0</v>
      </c>
      <c r="I84" s="56">
        <f t="shared" si="170"/>
        <v>0</v>
      </c>
      <c r="J84" s="56">
        <f t="shared" si="170"/>
        <v>0</v>
      </c>
      <c r="K84" s="56">
        <f t="shared" si="170"/>
        <v>0</v>
      </c>
      <c r="L84" s="56">
        <f t="shared" si="170"/>
        <v>0</v>
      </c>
      <c r="M84" s="56">
        <f t="shared" ref="M84:O84" si="171">M85-SUM(M79:M83)</f>
        <v>0</v>
      </c>
      <c r="N84" s="56">
        <f t="shared" si="171"/>
        <v>-0.10000000000000142</v>
      </c>
      <c r="O84" s="56">
        <f t="shared" si="171"/>
        <v>0</v>
      </c>
      <c r="P84" s="56">
        <f t="shared" ref="P84" si="172">P85-SUM(P79:P83)</f>
        <v>9.9999999999999645E-2</v>
      </c>
      <c r="Q84" s="28"/>
      <c r="R84" s="28"/>
      <c r="S84" s="28"/>
      <c r="T84" s="28"/>
      <c r="U84" s="28"/>
      <c r="V84" s="28"/>
      <c r="W84" s="28"/>
    </row>
    <row r="85" spans="2:23" ht="15" thickBot="1" x14ac:dyDescent="0.35">
      <c r="B85" s="17" t="s">
        <v>169</v>
      </c>
      <c r="C85" s="17"/>
      <c r="D85" s="17"/>
      <c r="E85" s="80">
        <f>INDEX(cf!$B$5:$CO$107,MATCH($B85,cf!$A$5:$A$107,0),MATCH(E$6,cf!$B$3:$CO$3,0))</f>
        <v>-1.8</v>
      </c>
      <c r="F85" s="80">
        <f>INDEX(cf!$B$5:$CO$107,MATCH($B85,cf!$A$5:$A$107,0),MATCH(F$6,cf!$B$3:$CO$3,0))</f>
        <v>-2.1</v>
      </c>
      <c r="G85" s="80">
        <f>INDEX(cf!$B$5:$CO$107,MATCH($B85,cf!$A$5:$A$107,0),MATCH(G$6,cf!$B$3:$CO$3,0))</f>
        <v>-2.6</v>
      </c>
      <c r="H85" s="80">
        <f>INDEX(cf!$B$5:$CO$107,MATCH($B85,cf!$A$5:$A$107,0),MATCH(H$6,cf!$B$3:$CO$3,0))</f>
        <v>-3.6</v>
      </c>
      <c r="I85" s="80">
        <f>INDEX(cf!$B$5:$CO$107,MATCH($B85,cf!$A$5:$A$107,0),MATCH(I$6,cf!$B$3:$CO$3,0))</f>
        <v>-3.7</v>
      </c>
      <c r="J85" s="80">
        <f>INDEX(cf!$B$5:$CO$107,MATCH($B85,cf!$A$5:$A$107,0),MATCH(J$6,cf!$B$3:$CO$3,0))</f>
        <v>-3.6</v>
      </c>
      <c r="K85" s="80">
        <f>INDEX(cf!$B$5:$CO$107,MATCH($B85,cf!$A$5:$A$107,0),MATCH(K$6,cf!$B$3:$CO$3,0))</f>
        <v>-4.5</v>
      </c>
      <c r="L85" s="80">
        <f>INDEX(cf!$B$5:$CO$107,MATCH($B85,cf!$A$5:$A$107,0),MATCH(L$6,cf!$B$3:$CO$3,0))</f>
        <v>-19.899999999999999</v>
      </c>
      <c r="M85" s="80">
        <f>INDEX(cf!$B$5:$CO$107,MATCH($B85,cf!$A$5:$A$107,0),MATCH(M$6,cf!$B$3:$CO$3,0))</f>
        <v>-44.9</v>
      </c>
      <c r="N85" s="80">
        <f>INDEX(cf!$B$5:$CO$107,MATCH($B85,cf!$A$5:$A$107,0),MATCH(N$6,cf!$B$3:$CO$3,0))</f>
        <v>-20.6</v>
      </c>
      <c r="O85" s="80">
        <f>INDEX(cf!$B$5:$CO$107,MATCH($B85,cf!$A$5:$A$107,0),MATCH(O$6,cf!$B$3:$CO$3,0))</f>
        <v>-22.6</v>
      </c>
      <c r="P85" s="80">
        <f>INDEX(cf!$B$5:$CO$107,MATCH($B85,cf!$A$5:$A$107,0),MATCH(P$6,cf!$B$3:$CO$3,0))</f>
        <v>-13.6</v>
      </c>
      <c r="Q85" s="81">
        <f t="shared" ref="Q85:R85" si="173">SUM(Q79:Q84)</f>
        <v>-10.810032512772876</v>
      </c>
      <c r="R85" s="81">
        <f t="shared" si="173"/>
        <v>-9.6914891890164583</v>
      </c>
      <c r="S85" s="81">
        <f t="shared" ref="S85:T85" si="174">SUM(S79:S84)</f>
        <v>-10.854467891698434</v>
      </c>
      <c r="T85" s="81">
        <f t="shared" si="174"/>
        <v>-11.939914680868279</v>
      </c>
      <c r="U85" s="81">
        <f t="shared" ref="U85:V85" si="175">SUM(U79:U84)</f>
        <v>-12.89510785533774</v>
      </c>
      <c r="V85" s="81">
        <f t="shared" si="175"/>
        <v>-13.668814326658007</v>
      </c>
      <c r="W85" s="81">
        <f t="shared" ref="W85" si="176">SUM(W79:W84)</f>
        <v>-14.215566899724328</v>
      </c>
    </row>
    <row r="86" spans="2:23" ht="15" thickTop="1" x14ac:dyDescent="0.3">
      <c r="B86" s="1" t="s">
        <v>170</v>
      </c>
      <c r="E86" s="56">
        <f>INDEX(cf!$B$5:$CO$107,MATCH($B86,cf!$A$5:$A$107,0),MATCH(E$6,cf!$B$3:$CO$3,0))</f>
        <v>0</v>
      </c>
      <c r="F86" s="56">
        <f>INDEX(cf!$B$5:$CO$107,MATCH($B86,cf!$A$5:$A$107,0),MATCH(F$6,cf!$B$3:$CO$3,0))</f>
        <v>0</v>
      </c>
      <c r="G86" s="56">
        <f>INDEX(cf!$B$5:$CO$107,MATCH($B86,cf!$A$5:$A$107,0),MATCH(G$6,cf!$B$3:$CO$3,0))</f>
        <v>0.2</v>
      </c>
      <c r="H86" s="56">
        <f>INDEX(cf!$B$5:$CO$107,MATCH($B86,cf!$A$5:$A$107,0),MATCH(H$6,cf!$B$3:$CO$3,0))</f>
        <v>0</v>
      </c>
      <c r="I86" s="56">
        <f>INDEX(cf!$B$5:$CO$107,MATCH($B86,cf!$A$5:$A$107,0),MATCH(I$6,cf!$B$3:$CO$3,0))</f>
        <v>0.2</v>
      </c>
      <c r="J86" s="56">
        <f>INDEX(cf!$B$5:$CO$107,MATCH($B86,cf!$A$5:$A$107,0),MATCH(J$6,cf!$B$3:$CO$3,0))</f>
        <v>0.3</v>
      </c>
      <c r="K86" s="56">
        <f>INDEX(cf!$B$5:$CO$107,MATCH($B86,cf!$A$5:$A$107,0),MATCH(K$6,cf!$B$3:$CO$3,0))</f>
        <v>0.3</v>
      </c>
      <c r="L86" s="56">
        <f>INDEX(cf!$B$5:$CO$107,MATCH($B86,cf!$A$5:$A$107,0),MATCH(L$6,cf!$B$3:$CO$3,0))</f>
        <v>0</v>
      </c>
      <c r="M86" s="56">
        <f>INDEX(cf!$B$5:$CO$107,MATCH($B86,cf!$A$5:$A$107,0),MATCH(M$6,cf!$B$3:$CO$3,0))</f>
        <v>0</v>
      </c>
      <c r="N86" s="56">
        <f>INDEX(cf!$B$5:$CO$107,MATCH($B86,cf!$A$5:$A$107,0),MATCH(N$6,cf!$B$3:$CO$3,0))</f>
        <v>0</v>
      </c>
      <c r="O86" s="56">
        <f>INDEX(cf!$B$5:$CO$107,MATCH($B86,cf!$A$5:$A$107,0),MATCH(O$6,cf!$B$3:$CO$3,0))</f>
        <v>0</v>
      </c>
      <c r="P86" s="56">
        <f>INDEX(cf!$B$5:$CO$107,MATCH($B86,cf!$A$5:$A$107,0),MATCH(P$6,cf!$B$3:$CO$3,0))</f>
        <v>0</v>
      </c>
      <c r="Q86" s="28"/>
      <c r="R86" s="28"/>
      <c r="S86" s="28"/>
      <c r="T86" s="28"/>
      <c r="U86" s="28"/>
      <c r="V86" s="28"/>
      <c r="W86" s="28"/>
    </row>
    <row r="87" spans="2:23" x14ac:dyDescent="0.3">
      <c r="B87" s="1" t="s">
        <v>52</v>
      </c>
      <c r="E87" s="56">
        <f>INDEX(cf!$B$5:$CO$107,MATCH($B87,cf!$A$5:$A$107,0),MATCH(E$6,cf!$B$3:$CO$3,0))</f>
        <v>0</v>
      </c>
      <c r="F87" s="56">
        <f>INDEX(cf!$B$5:$CO$107,MATCH($B87,cf!$A$5:$A$107,0),MATCH(F$6,cf!$B$3:$CO$3,0))</f>
        <v>0</v>
      </c>
      <c r="G87" s="56">
        <f>INDEX(cf!$B$5:$CO$107,MATCH($B87,cf!$A$5:$A$107,0),MATCH(G$6,cf!$B$3:$CO$3,0))</f>
        <v>0</v>
      </c>
      <c r="H87" s="56">
        <f>INDEX(cf!$B$5:$CO$107,MATCH($B87,cf!$A$5:$A$107,0),MATCH(H$6,cf!$B$3:$CO$3,0))</f>
        <v>0</v>
      </c>
      <c r="I87" s="56">
        <f>INDEX(cf!$B$5:$CO$107,MATCH($B87,cf!$A$5:$A$107,0),MATCH(I$6,cf!$B$3:$CO$3,0))</f>
        <v>0</v>
      </c>
      <c r="J87" s="56">
        <f>INDEX(cf!$B$5:$CO$107,MATCH($B87,cf!$A$5:$A$107,0),MATCH(J$6,cf!$B$3:$CO$3,0))</f>
        <v>0</v>
      </c>
      <c r="K87" s="56">
        <f>INDEX(cf!$B$5:$CO$107,MATCH($B87,cf!$A$5:$A$107,0),MATCH(K$6,cf!$B$3:$CO$3,0))</f>
        <v>0</v>
      </c>
      <c r="L87" s="56">
        <f>INDEX(cf!$B$5:$CO$107,MATCH($B87,cf!$A$5:$A$107,0),MATCH(L$6,cf!$B$3:$CO$3,0))</f>
        <v>0</v>
      </c>
      <c r="M87" s="56">
        <f>INDEX(cf!$B$5:$CO$107,MATCH($B87,cf!$A$5:$A$107,0),MATCH(M$6,cf!$B$3:$CO$3,0))</f>
        <v>0</v>
      </c>
      <c r="N87" s="56">
        <f>INDEX(cf!$B$5:$CO$107,MATCH($B87,cf!$A$5:$A$107,0),MATCH(N$6,cf!$B$3:$CO$3,0))</f>
        <v>0</v>
      </c>
      <c r="O87" s="56">
        <f>INDEX(cf!$B$5:$CO$107,MATCH($B87,cf!$A$5:$A$107,0),MATCH(O$6,cf!$B$3:$CO$3,0))</f>
        <v>0</v>
      </c>
      <c r="P87" s="56">
        <f>INDEX(cf!$B$5:$CO$107,MATCH($B87,cf!$A$5:$A$107,0),MATCH(P$6,cf!$B$3:$CO$3,0))</f>
        <v>0</v>
      </c>
      <c r="Q87" s="28"/>
      <c r="R87" s="28"/>
      <c r="S87" s="28"/>
      <c r="T87" s="28"/>
      <c r="U87" s="28"/>
      <c r="V87" s="28"/>
      <c r="W87" s="28"/>
    </row>
    <row r="88" spans="2:23" x14ac:dyDescent="0.3">
      <c r="B88" s="1" t="s">
        <v>171</v>
      </c>
      <c r="E88" s="56">
        <f>INDEX(cf!$B$5:$CO$107,MATCH($B88,cf!$A$5:$A$107,0),MATCH(E$6,cf!$B$3:$CO$3,0))</f>
        <v>0</v>
      </c>
      <c r="F88" s="56">
        <f>INDEX(cf!$B$5:$CO$107,MATCH($B88,cf!$A$5:$A$107,0),MATCH(F$6,cf!$B$3:$CO$3,0))</f>
        <v>0</v>
      </c>
      <c r="G88" s="56">
        <f>INDEX(cf!$B$5:$CO$107,MATCH($B88,cf!$A$5:$A$107,0),MATCH(G$6,cf!$B$3:$CO$3,0))</f>
        <v>0</v>
      </c>
      <c r="H88" s="56">
        <f>INDEX(cf!$B$5:$CO$107,MATCH($B88,cf!$A$5:$A$107,0),MATCH(H$6,cf!$B$3:$CO$3,0))</f>
        <v>0</v>
      </c>
      <c r="I88" s="56">
        <f>INDEX(cf!$B$5:$CO$107,MATCH($B88,cf!$A$5:$A$107,0),MATCH(I$6,cf!$B$3:$CO$3,0))</f>
        <v>0</v>
      </c>
      <c r="J88" s="56">
        <f>INDEX(cf!$B$5:$CO$107,MATCH($B88,cf!$A$5:$A$107,0),MATCH(J$6,cf!$B$3:$CO$3,0))</f>
        <v>0</v>
      </c>
      <c r="K88" s="56">
        <f>INDEX(cf!$B$5:$CO$107,MATCH($B88,cf!$A$5:$A$107,0),MATCH(K$6,cf!$B$3:$CO$3,0))</f>
        <v>0</v>
      </c>
      <c r="L88" s="56">
        <f>INDEX(cf!$B$5:$CO$107,MATCH($B88,cf!$A$5:$A$107,0),MATCH(L$6,cf!$B$3:$CO$3,0))</f>
        <v>0</v>
      </c>
      <c r="M88" s="56">
        <f>INDEX(cf!$B$5:$CO$107,MATCH($B88,cf!$A$5:$A$107,0),MATCH(M$6,cf!$B$3:$CO$3,0))</f>
        <v>36</v>
      </c>
      <c r="N88" s="56">
        <f>INDEX(cf!$B$5:$CO$107,MATCH($B88,cf!$A$5:$A$107,0),MATCH(N$6,cf!$B$3:$CO$3,0))</f>
        <v>7.4</v>
      </c>
      <c r="O88" s="56">
        <f>INDEX(cf!$B$5:$CO$107,MATCH($B88,cf!$A$5:$A$107,0),MATCH(O$6,cf!$B$3:$CO$3,0))</f>
        <v>13.2</v>
      </c>
      <c r="P88" s="56">
        <f>INDEX(cf!$B$5:$CO$107,MATCH($B88,cf!$A$5:$A$107,0),MATCH(P$6,cf!$B$3:$CO$3,0))</f>
        <v>15.7</v>
      </c>
      <c r="Q88" s="28"/>
      <c r="R88" s="28"/>
      <c r="S88" s="28"/>
      <c r="T88" s="28"/>
      <c r="U88" s="28"/>
      <c r="V88" s="28"/>
      <c r="W88" s="28"/>
    </row>
    <row r="89" spans="2:23" x14ac:dyDescent="0.3">
      <c r="B89" s="1" t="s">
        <v>172</v>
      </c>
      <c r="E89" s="56">
        <f>INDEX(cf!$B$5:$CO$107,MATCH($B89,cf!$A$5:$A$107,0),MATCH(E$6,cf!$B$3:$CO$3,0))</f>
        <v>0</v>
      </c>
      <c r="F89" s="56">
        <f>INDEX(cf!$B$5:$CO$107,MATCH($B89,cf!$A$5:$A$107,0),MATCH(F$6,cf!$B$3:$CO$3,0))</f>
        <v>0</v>
      </c>
      <c r="G89" s="56">
        <f>INDEX(cf!$B$5:$CO$107,MATCH($B89,cf!$A$5:$A$107,0),MATCH(G$6,cf!$B$3:$CO$3,0))</f>
        <v>0</v>
      </c>
      <c r="H89" s="56">
        <f>INDEX(cf!$B$5:$CO$107,MATCH($B89,cf!$A$5:$A$107,0),MATCH(H$6,cf!$B$3:$CO$3,0))</f>
        <v>0</v>
      </c>
      <c r="I89" s="56">
        <f>INDEX(cf!$B$5:$CO$107,MATCH($B89,cf!$A$5:$A$107,0),MATCH(I$6,cf!$B$3:$CO$3,0))</f>
        <v>0</v>
      </c>
      <c r="J89" s="56">
        <f>INDEX(cf!$B$5:$CO$107,MATCH($B89,cf!$A$5:$A$107,0),MATCH(J$6,cf!$B$3:$CO$3,0))</f>
        <v>0</v>
      </c>
      <c r="K89" s="56">
        <f>INDEX(cf!$B$5:$CO$107,MATCH($B89,cf!$A$5:$A$107,0),MATCH(K$6,cf!$B$3:$CO$3,0))</f>
        <v>0</v>
      </c>
      <c r="L89" s="56">
        <f>INDEX(cf!$B$5:$CO$107,MATCH($B89,cf!$A$5:$A$107,0),MATCH(L$6,cf!$B$3:$CO$3,0))</f>
        <v>0</v>
      </c>
      <c r="M89" s="56">
        <f>INDEX(cf!$B$5:$CO$107,MATCH($B89,cf!$A$5:$A$107,0),MATCH(M$6,cf!$B$3:$CO$3,0))</f>
        <v>-24</v>
      </c>
      <c r="N89" s="56">
        <f>INDEX(cf!$B$5:$CO$107,MATCH($B89,cf!$A$5:$A$107,0),MATCH(N$6,cf!$B$3:$CO$3,0))</f>
        <v>-19.3</v>
      </c>
      <c r="O89" s="56">
        <f>INDEX(cf!$B$5:$CO$107,MATCH($B89,cf!$A$5:$A$107,0),MATCH(O$6,cf!$B$3:$CO$3,0))</f>
        <v>0</v>
      </c>
      <c r="P89" s="56">
        <f>INDEX(cf!$B$5:$CO$107,MATCH($B89,cf!$A$5:$A$107,0),MATCH(P$6,cf!$B$3:$CO$3,0))</f>
        <v>-2</v>
      </c>
      <c r="Q89" s="28">
        <f>Q28-O28-O26</f>
        <v>3.3000000000000007</v>
      </c>
      <c r="R89" s="28">
        <f>R28-Q28-Q26</f>
        <v>0</v>
      </c>
      <c r="S89" s="28">
        <f>S28-R28-R26</f>
        <v>0</v>
      </c>
      <c r="T89" s="28">
        <f>T28-S28-S26</f>
        <v>0</v>
      </c>
      <c r="U89" s="28">
        <f t="shared" ref="U89" si="177">U28-T28-T26</f>
        <v>0</v>
      </c>
      <c r="V89" s="28">
        <f t="shared" ref="V89:W89" si="178">V28-U28-U26</f>
        <v>0</v>
      </c>
      <c r="W89" s="28">
        <f t="shared" si="178"/>
        <v>0</v>
      </c>
    </row>
    <row r="90" spans="2:23" x14ac:dyDescent="0.3">
      <c r="B90" s="1" t="s">
        <v>175</v>
      </c>
      <c r="E90" s="56">
        <f>INDEX(cf!$B$5:$CO$107,MATCH($B90,cf!$A$5:$A$107,0),MATCH(E$6,cf!$B$3:$CO$3,0))</f>
        <v>-0.5</v>
      </c>
      <c r="F90" s="56">
        <f>INDEX(cf!$B$5:$CO$107,MATCH($B90,cf!$A$5:$A$107,0),MATCH(F$6,cf!$B$3:$CO$3,0))</f>
        <v>-1</v>
      </c>
      <c r="G90" s="56">
        <f>INDEX(cf!$B$5:$CO$107,MATCH($B90,cf!$A$5:$A$107,0),MATCH(G$6,cf!$B$3:$CO$3,0))</f>
        <v>-4.2</v>
      </c>
      <c r="H90" s="56">
        <f>INDEX(cf!$B$5:$CO$107,MATCH($B90,cf!$A$5:$A$107,0),MATCH(H$6,cf!$B$3:$CO$3,0))</f>
        <v>-0.3</v>
      </c>
      <c r="I90" s="56">
        <f>INDEX(cf!$B$5:$CO$107,MATCH($B90,cf!$A$5:$A$107,0),MATCH(I$6,cf!$B$3:$CO$3,0))</f>
        <v>-1</v>
      </c>
      <c r="J90" s="56">
        <f>INDEX(cf!$B$5:$CO$107,MATCH($B90,cf!$A$5:$A$107,0),MATCH(J$6,cf!$B$3:$CO$3,0))</f>
        <v>-1.1000000000000001</v>
      </c>
      <c r="K90" s="56">
        <f>INDEX(cf!$B$5:$CO$107,MATCH($B90,cf!$A$5:$A$107,0),MATCH(K$6,cf!$B$3:$CO$3,0))</f>
        <v>-1.7</v>
      </c>
      <c r="L90" s="56">
        <f>INDEX(cf!$B$5:$CO$107,MATCH($B90,cf!$A$5:$A$107,0),MATCH(L$6,cf!$B$3:$CO$3,0))</f>
        <v>-2</v>
      </c>
      <c r="M90" s="56">
        <f>INDEX(cf!$B$5:$CO$107,MATCH($B90,cf!$A$5:$A$107,0),MATCH(M$6,cf!$B$3:$CO$3,0))</f>
        <v>-2.2999999999999998</v>
      </c>
      <c r="N90" s="56">
        <f>INDEX(cf!$B$5:$CO$107,MATCH($B90,cf!$A$5:$A$107,0),MATCH(N$6,cf!$B$3:$CO$3,0))</f>
        <v>-2.6</v>
      </c>
      <c r="O90" s="56">
        <f>INDEX(cf!$B$5:$CO$107,MATCH($B90,cf!$A$5:$A$107,0),MATCH(O$6,cf!$B$3:$CO$3,0))</f>
        <v>-3.2</v>
      </c>
      <c r="P90" s="56">
        <f>INDEX(cf!$B$5:$CO$107,MATCH($B90,cf!$A$5:$A$107,0),MATCH(P$6,cf!$B$3:$CO$3,0))</f>
        <v>-2.4</v>
      </c>
      <c r="Q90" s="28">
        <f>Q61*-summary!Q36</f>
        <v>-1.9632156879511466</v>
      </c>
      <c r="R90" s="28">
        <f>R61*-summary!R36</f>
        <v>-1.1567731454664663</v>
      </c>
      <c r="S90" s="28">
        <f>S61*-summary!S36</f>
        <v>-1.8952879710732864</v>
      </c>
      <c r="T90" s="28">
        <f>T61*-summary!T36</f>
        <v>-2.3847983558170411</v>
      </c>
      <c r="U90" s="28">
        <f>U61*-summary!U36</f>
        <v>-3.045828927589151</v>
      </c>
      <c r="V90" s="28">
        <f>V61*-summary!V36</f>
        <v>-3.4862303794627088</v>
      </c>
      <c r="W90" s="28">
        <f>W61*-summary!W36</f>
        <v>-3.2124711882450057</v>
      </c>
    </row>
    <row r="91" spans="2:23" x14ac:dyDescent="0.3">
      <c r="B91" s="1" t="s">
        <v>46</v>
      </c>
      <c r="E91" s="56">
        <f>E92-SUM(E86:E90)</f>
        <v>0</v>
      </c>
      <c r="F91" s="56">
        <f t="shared" ref="F91" si="179">F92-SUM(F86:F90)</f>
        <v>0</v>
      </c>
      <c r="G91" s="56">
        <f t="shared" ref="G91" si="180">G92-SUM(G86:G90)</f>
        <v>0</v>
      </c>
      <c r="H91" s="56">
        <f t="shared" ref="H91" si="181">H92-SUM(H86:H90)</f>
        <v>0</v>
      </c>
      <c r="I91" s="56">
        <f t="shared" ref="I91" si="182">I92-SUM(I86:I90)</f>
        <v>0</v>
      </c>
      <c r="J91" s="56">
        <f t="shared" ref="J91" si="183">J92-SUM(J86:J90)</f>
        <v>-9.9999999999999978E-2</v>
      </c>
      <c r="K91" s="56">
        <f t="shared" ref="K91" si="184">K92-SUM(K86:K90)</f>
        <v>0</v>
      </c>
      <c r="L91" s="56">
        <f t="shared" ref="L91" si="185">L92-SUM(L86:L90)</f>
        <v>0</v>
      </c>
      <c r="M91" s="56">
        <f t="shared" ref="M91:O91" si="186">M92-SUM(M86:M90)</f>
        <v>-1.2999999999999989</v>
      </c>
      <c r="N91" s="56">
        <f t="shared" si="186"/>
        <v>-1.0999999999999996</v>
      </c>
      <c r="O91" s="56">
        <f t="shared" si="186"/>
        <v>-1.1999999999999993</v>
      </c>
      <c r="P91" s="56">
        <f t="shared" ref="P91" si="187">P92-SUM(P86:P90)</f>
        <v>-0.39999999999999858</v>
      </c>
      <c r="Q91" s="28"/>
      <c r="R91" s="28"/>
      <c r="S91" s="28"/>
      <c r="T91" s="28"/>
      <c r="U91" s="28"/>
      <c r="V91" s="28"/>
      <c r="W91" s="28"/>
    </row>
    <row r="92" spans="2:23" ht="15" thickBot="1" x14ac:dyDescent="0.35">
      <c r="B92" s="17" t="s">
        <v>177</v>
      </c>
      <c r="C92" s="17"/>
      <c r="D92" s="17"/>
      <c r="E92" s="80">
        <f>INDEX(cf!$B$5:$CO$107,MATCH($B92,cf!$A$5:$A$107,0),MATCH(E$6,cf!$B$3:$CO$3,0))</f>
        <v>-0.5</v>
      </c>
      <c r="F92" s="80">
        <f>INDEX(cf!$B$5:$CO$107,MATCH($B92,cf!$A$5:$A$107,0),MATCH(F$6,cf!$B$3:$CO$3,0))</f>
        <v>-1</v>
      </c>
      <c r="G92" s="80">
        <f>INDEX(cf!$B$5:$CO$107,MATCH($B92,cf!$A$5:$A$107,0),MATCH(G$6,cf!$B$3:$CO$3,0))</f>
        <v>-4</v>
      </c>
      <c r="H92" s="80">
        <f>INDEX(cf!$B$5:$CO$107,MATCH($B92,cf!$A$5:$A$107,0),MATCH(H$6,cf!$B$3:$CO$3,0))</f>
        <v>-0.3</v>
      </c>
      <c r="I92" s="80">
        <f>INDEX(cf!$B$5:$CO$107,MATCH($B92,cf!$A$5:$A$107,0),MATCH(I$6,cf!$B$3:$CO$3,0))</f>
        <v>-0.8</v>
      </c>
      <c r="J92" s="80">
        <f>INDEX(cf!$B$5:$CO$107,MATCH($B92,cf!$A$5:$A$107,0),MATCH(J$6,cf!$B$3:$CO$3,0))</f>
        <v>-0.9</v>
      </c>
      <c r="K92" s="80">
        <f>INDEX(cf!$B$5:$CO$107,MATCH($B92,cf!$A$5:$A$107,0),MATCH(K$6,cf!$B$3:$CO$3,0))</f>
        <v>-1.4</v>
      </c>
      <c r="L92" s="80">
        <f>INDEX(cf!$B$5:$CO$107,MATCH($B92,cf!$A$5:$A$107,0),MATCH(L$6,cf!$B$3:$CO$3,0))</f>
        <v>-2</v>
      </c>
      <c r="M92" s="80">
        <f>INDEX(cf!$B$5:$CO$107,MATCH($B92,cf!$A$5:$A$107,0),MATCH(M$6,cf!$B$3:$CO$3,0))</f>
        <v>8.4</v>
      </c>
      <c r="N92" s="80">
        <f>INDEX(cf!$B$5:$CO$107,MATCH($B92,cf!$A$5:$A$107,0),MATCH(N$6,cf!$B$3:$CO$3,0))</f>
        <v>-15.6</v>
      </c>
      <c r="O92" s="80">
        <f>INDEX(cf!$B$5:$CO$107,MATCH($B92,cf!$A$5:$A$107,0),MATCH(O$6,cf!$B$3:$CO$3,0))</f>
        <v>8.8000000000000007</v>
      </c>
      <c r="P92" s="80">
        <f>INDEX(cf!$B$5:$CO$107,MATCH($B92,cf!$A$5:$A$107,0),MATCH(P$6,cf!$B$3:$CO$3,0))</f>
        <v>10.9</v>
      </c>
      <c r="Q92" s="81">
        <f t="shared" ref="Q92:T92" si="188">SUM(Q86:Q91)</f>
        <v>1.3367843120488541</v>
      </c>
      <c r="R92" s="81">
        <f t="shared" si="188"/>
        <v>-1.1567731454664663</v>
      </c>
      <c r="S92" s="81">
        <f t="shared" si="188"/>
        <v>-1.8952879710732864</v>
      </c>
      <c r="T92" s="81">
        <f t="shared" si="188"/>
        <v>-2.3847983558170411</v>
      </c>
      <c r="U92" s="81">
        <f t="shared" ref="U92:V92" si="189">SUM(U86:U91)</f>
        <v>-3.045828927589151</v>
      </c>
      <c r="V92" s="81">
        <f t="shared" si="189"/>
        <v>-3.4862303794627088</v>
      </c>
      <c r="W92" s="81">
        <f t="shared" ref="W92" si="190">SUM(W86:W91)</f>
        <v>-3.2124711882450057</v>
      </c>
    </row>
    <row r="93" spans="2:23" ht="15" thickTop="1" x14ac:dyDescent="0.3"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28"/>
      <c r="R93" s="28"/>
      <c r="S93" s="28"/>
      <c r="T93" s="28"/>
      <c r="U93" s="28"/>
      <c r="V93" s="28"/>
      <c r="W93" s="28"/>
    </row>
    <row r="94" spans="2:23" ht="15" thickBot="1" x14ac:dyDescent="0.35">
      <c r="B94" s="17" t="s">
        <v>180</v>
      </c>
      <c r="C94" s="17"/>
      <c r="D94" s="17"/>
      <c r="E94" s="80">
        <f>INDEX(cf!$B$5:$CO$107,MATCH($B94,cf!$A$5:$A$107,0),MATCH(E$6,cf!$B$3:$CO$3,0))</f>
        <v>2.5</v>
      </c>
      <c r="F94" s="80">
        <f>INDEX(cf!$B$5:$CO$107,MATCH($B94,cf!$A$5:$A$107,0),MATCH(F$6,cf!$B$3:$CO$3,0))</f>
        <v>2.2999999999999998</v>
      </c>
      <c r="G94" s="80">
        <f>INDEX(cf!$B$5:$CO$107,MATCH($B94,cf!$A$5:$A$107,0),MATCH(G$6,cf!$B$3:$CO$3,0))</f>
        <v>1.6</v>
      </c>
      <c r="H94" s="80">
        <f>INDEX(cf!$B$5:$CO$107,MATCH($B94,cf!$A$5:$A$107,0),MATCH(H$6,cf!$B$3:$CO$3,0))</f>
        <v>3.8</v>
      </c>
      <c r="I94" s="80">
        <f>INDEX(cf!$B$5:$CO$107,MATCH($B94,cf!$A$5:$A$107,0),MATCH(I$6,cf!$B$3:$CO$3,0))</f>
        <v>6.2</v>
      </c>
      <c r="J94" s="80">
        <f>INDEX(cf!$B$5:$CO$107,MATCH($B94,cf!$A$5:$A$107,0),MATCH(J$6,cf!$B$3:$CO$3,0))</f>
        <v>5.6</v>
      </c>
      <c r="K94" s="80">
        <f>INDEX(cf!$B$5:$CO$107,MATCH($B94,cf!$A$5:$A$107,0),MATCH(K$6,cf!$B$3:$CO$3,0))</f>
        <v>14.2</v>
      </c>
      <c r="L94" s="80">
        <f>INDEX(cf!$B$5:$CO$107,MATCH($B94,cf!$A$5:$A$107,0),MATCH(L$6,cf!$B$3:$CO$3,0))</f>
        <v>22.8</v>
      </c>
      <c r="M94" s="80">
        <f>INDEX(cf!$B$5:$CO$107,MATCH($B94,cf!$A$5:$A$107,0),MATCH(M$6,cf!$B$3:$CO$3,0))</f>
        <v>14.9</v>
      </c>
      <c r="N94" s="80">
        <f>INDEX(cf!$B$5:$CO$107,MATCH($B94,cf!$A$5:$A$107,0),MATCH(N$6,cf!$B$3:$CO$3,0))</f>
        <v>15</v>
      </c>
      <c r="O94" s="80">
        <f>INDEX(cf!$B$5:$CO$107,MATCH($B94,cf!$A$5:$A$107,0),MATCH(O$6,cf!$B$3:$CO$3,0))</f>
        <v>17.3</v>
      </c>
      <c r="P94" s="80">
        <f>INDEX(cf!$B$5:$CO$107,MATCH($B94,cf!$A$5:$A$107,0),MATCH(P$6,cf!$B$3:$CO$3,0))</f>
        <v>12.8</v>
      </c>
      <c r="Q94" s="81">
        <f t="shared" ref="Q94" si="191">O97</f>
        <v>12.7</v>
      </c>
      <c r="R94" s="81">
        <f>Q97</f>
        <v>39.274954426962282</v>
      </c>
      <c r="S94" s="81">
        <f t="shared" ref="S94:T94" si="192">R97</f>
        <v>55.560396517059203</v>
      </c>
      <c r="T94" s="81">
        <f t="shared" si="192"/>
        <v>61.175518078176857</v>
      </c>
      <c r="U94" s="81">
        <f t="shared" ref="U94" si="193">T97</f>
        <v>69.54955021774829</v>
      </c>
      <c r="V94" s="81">
        <f t="shared" ref="V94:W94" si="194">U97</f>
        <v>81.454959480766917</v>
      </c>
      <c r="W94" s="81">
        <f t="shared" si="194"/>
        <v>95.990302592313938</v>
      </c>
    </row>
    <row r="95" spans="2:23" ht="15" thickTop="1" x14ac:dyDescent="0.3">
      <c r="B95" s="1" t="s">
        <v>178</v>
      </c>
      <c r="E95" s="56">
        <f>E92+E85+E78</f>
        <v>-0.19999999999999973</v>
      </c>
      <c r="F95" s="56">
        <f t="shared" ref="F95:L95" si="195">F92+F85+F78</f>
        <v>-0.70000000000000018</v>
      </c>
      <c r="G95" s="56">
        <f t="shared" si="195"/>
        <v>2.2000000000000011</v>
      </c>
      <c r="H95" s="56">
        <f t="shared" si="195"/>
        <v>2.3000000000000003</v>
      </c>
      <c r="I95" s="56">
        <f t="shared" si="195"/>
        <v>-0.60000000000000009</v>
      </c>
      <c r="J95" s="56">
        <f t="shared" si="195"/>
        <v>8.6</v>
      </c>
      <c r="K95" s="56">
        <f t="shared" si="195"/>
        <v>8.6</v>
      </c>
      <c r="L95" s="56">
        <f t="shared" si="195"/>
        <v>-7.8999999999999986</v>
      </c>
      <c r="M95" s="56">
        <f t="shared" ref="M95:O95" si="196">M92+M85+M78</f>
        <v>0.10000000000000142</v>
      </c>
      <c r="N95" s="56">
        <f t="shared" si="196"/>
        <v>2.2999999999999972</v>
      </c>
      <c r="O95" s="56">
        <f t="shared" si="196"/>
        <v>-5.3000000000000007</v>
      </c>
      <c r="P95" s="56">
        <f t="shared" ref="P95" si="197">P92+P85+P78</f>
        <v>0.70000000000000062</v>
      </c>
      <c r="Q95" s="28">
        <f t="shared" ref="Q95:T95" si="198">SUM(Q92,Q85,Q78)</f>
        <v>26.574954426962286</v>
      </c>
      <c r="R95" s="28">
        <f t="shared" si="198"/>
        <v>16.285442090096922</v>
      </c>
      <c r="S95" s="28">
        <f t="shared" si="198"/>
        <v>5.6151215611176539</v>
      </c>
      <c r="T95" s="28">
        <f t="shared" si="198"/>
        <v>8.3740321395714297</v>
      </c>
      <c r="U95" s="28">
        <f t="shared" ref="U95:V95" si="199">SUM(U92,U85,U78)</f>
        <v>11.905409263018633</v>
      </c>
      <c r="V95" s="28">
        <f t="shared" si="199"/>
        <v>14.535343111547018</v>
      </c>
      <c r="W95" s="28">
        <f t="shared" ref="W95" si="200">SUM(W92,W85,W78)</f>
        <v>16.969325802140233</v>
      </c>
    </row>
    <row r="96" spans="2:23" x14ac:dyDescent="0.3">
      <c r="B96" s="1" t="s">
        <v>181</v>
      </c>
      <c r="E96" s="56">
        <f>INDEX(cf!$B$5:$CO$107,MATCH($B96,cf!$A$5:$A$107,0),MATCH(E$6,cf!$B$3:$CO$3,0))</f>
        <v>0</v>
      </c>
      <c r="F96" s="56">
        <f>INDEX(cf!$B$5:$CO$107,MATCH($B96,cf!$A$5:$A$107,0),MATCH(F$6,cf!$B$3:$CO$3,0))</f>
        <v>0</v>
      </c>
      <c r="G96" s="56">
        <f>INDEX(cf!$B$5:$CO$107,MATCH($B96,cf!$A$5:$A$107,0),MATCH(G$6,cf!$B$3:$CO$3,0))</f>
        <v>0</v>
      </c>
      <c r="H96" s="56">
        <f>INDEX(cf!$B$5:$CO$107,MATCH($B96,cf!$A$5:$A$107,0),MATCH(H$6,cf!$B$3:$CO$3,0))</f>
        <v>0</v>
      </c>
      <c r="I96" s="56">
        <f>INDEX(cf!$B$5:$CO$107,MATCH($B96,cf!$A$5:$A$107,0),MATCH(I$6,cf!$B$3:$CO$3,0))</f>
        <v>0</v>
      </c>
      <c r="J96" s="56">
        <f>INDEX(cf!$B$5:$CO$107,MATCH($B96,cf!$A$5:$A$107,0),MATCH(J$6,cf!$B$3:$CO$3,0))</f>
        <v>0</v>
      </c>
      <c r="K96" s="56">
        <f>INDEX(cf!$B$5:$CO$107,MATCH($B96,cf!$A$5:$A$107,0),MATCH(K$6,cf!$B$3:$CO$3,0))</f>
        <v>0</v>
      </c>
      <c r="L96" s="56">
        <f>INDEX(cf!$B$5:$CO$107,MATCH($B96,cf!$A$5:$A$107,0),MATCH(L$6,cf!$B$3:$CO$3,0))</f>
        <v>0</v>
      </c>
      <c r="M96" s="56">
        <f>INDEX(cf!$B$5:$CO$107,MATCH($B96,cf!$A$5:$A$107,0),MATCH(M$6,cf!$B$3:$CO$3,0))</f>
        <v>0</v>
      </c>
      <c r="N96" s="56">
        <f>INDEX(cf!$B$5:$CO$107,MATCH($B96,cf!$A$5:$A$107,0),MATCH(N$6,cf!$B$3:$CO$3,0))</f>
        <v>0</v>
      </c>
      <c r="O96" s="56">
        <f>INDEX(cf!$B$5:$CO$107,MATCH($B96,cf!$A$5:$A$107,0),MATCH(O$6,cf!$B$3:$CO$3,0))</f>
        <v>0.7</v>
      </c>
      <c r="P96" s="56">
        <f>INDEX(cf!$B$5:$CO$107,MATCH($B96,cf!$A$5:$A$107,0),MATCH(P$6,cf!$B$3:$CO$3,0))</f>
        <v>0.1</v>
      </c>
      <c r="Q96" s="28"/>
      <c r="R96" s="28"/>
      <c r="S96" s="28"/>
      <c r="T96" s="28"/>
      <c r="U96" s="28"/>
      <c r="V96" s="28"/>
      <c r="W96" s="28"/>
    </row>
    <row r="97" spans="2:23" ht="15" thickBot="1" x14ac:dyDescent="0.35">
      <c r="B97" s="17" t="s">
        <v>182</v>
      </c>
      <c r="C97" s="17"/>
      <c r="D97" s="17"/>
      <c r="E97" s="80">
        <f>SUM(E94:E96)</f>
        <v>2.3000000000000003</v>
      </c>
      <c r="F97" s="80">
        <f>SUM(F94:F96)</f>
        <v>1.5999999999999996</v>
      </c>
      <c r="G97" s="80">
        <f t="shared" ref="G97:L97" si="201">SUM(G94:G96)</f>
        <v>3.8000000000000012</v>
      </c>
      <c r="H97" s="80">
        <f t="shared" si="201"/>
        <v>6.1</v>
      </c>
      <c r="I97" s="80">
        <f t="shared" si="201"/>
        <v>5.6</v>
      </c>
      <c r="J97" s="80">
        <f>SUM(J94:J96)</f>
        <v>14.2</v>
      </c>
      <c r="K97" s="80">
        <f t="shared" si="201"/>
        <v>22.799999999999997</v>
      </c>
      <c r="L97" s="80">
        <f t="shared" si="201"/>
        <v>14.900000000000002</v>
      </c>
      <c r="M97" s="80">
        <f t="shared" ref="M97:O97" si="202">SUM(M94:M96)</f>
        <v>15.000000000000002</v>
      </c>
      <c r="N97" s="80">
        <f t="shared" si="202"/>
        <v>17.299999999999997</v>
      </c>
      <c r="O97" s="80">
        <f t="shared" si="202"/>
        <v>12.7</v>
      </c>
      <c r="P97" s="80">
        <f t="shared" ref="P97" si="203">SUM(P94:P96)</f>
        <v>13.600000000000001</v>
      </c>
      <c r="Q97" s="81">
        <f t="shared" ref="Q97:T97" si="204">SUM(Q94:Q96)</f>
        <v>39.274954426962282</v>
      </c>
      <c r="R97" s="81">
        <f t="shared" si="204"/>
        <v>55.560396517059203</v>
      </c>
      <c r="S97" s="81">
        <f t="shared" si="204"/>
        <v>61.175518078176857</v>
      </c>
      <c r="T97" s="81">
        <f t="shared" si="204"/>
        <v>69.54955021774829</v>
      </c>
      <c r="U97" s="81">
        <f t="shared" ref="U97:V97" si="205">SUM(U94:U96)</f>
        <v>81.454959480766917</v>
      </c>
      <c r="V97" s="81">
        <f t="shared" si="205"/>
        <v>95.990302592313938</v>
      </c>
      <c r="W97" s="81">
        <f t="shared" ref="W97" si="206">SUM(W94:W96)</f>
        <v>112.95962839445417</v>
      </c>
    </row>
    <row r="98" spans="2:23" ht="15" thickTop="1" x14ac:dyDescent="0.3">
      <c r="E98" s="88"/>
      <c r="F98" s="88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</row>
    <row r="99" spans="2:23" x14ac:dyDescent="0.3">
      <c r="B99" s="21" t="s">
        <v>42</v>
      </c>
      <c r="D99" s="71" t="s">
        <v>182</v>
      </c>
      <c r="E99" s="87">
        <f>INDEX(cf!$B$5:$CO$107,MATCH($D99,cf!$A$5:$A$107,0),MATCH(E$6,cf!$B$3:$CO$3,0))</f>
        <v>2.2999999999999998</v>
      </c>
      <c r="F99" s="87">
        <f>INDEX(cf!$B$5:$CO$107,MATCH($D99,cf!$A$5:$A$107,0),MATCH(F$6,cf!$B$3:$CO$3,0))</f>
        <v>1.6</v>
      </c>
      <c r="G99" s="87">
        <f>INDEX(cf!$B$5:$CO$107,MATCH($D99,cf!$A$5:$A$107,0),MATCH(G$6,cf!$B$3:$CO$3,0))</f>
        <v>3.8</v>
      </c>
      <c r="H99" s="87">
        <f>INDEX(cf!$B$5:$CO$107,MATCH($D99,cf!$A$5:$A$107,0),MATCH(H$6,cf!$B$3:$CO$3,0))</f>
        <v>6.2</v>
      </c>
      <c r="I99" s="87">
        <f>INDEX(cf!$B$5:$CO$107,MATCH($D99,cf!$A$5:$A$107,0),MATCH(I$6,cf!$B$3:$CO$3,0))</f>
        <v>5.6</v>
      </c>
      <c r="J99" s="87">
        <f>INDEX(cf!$B$5:$CO$107,MATCH($D99,cf!$A$5:$A$107,0),MATCH(J$6,cf!$B$3:$CO$3,0))</f>
        <v>14.2</v>
      </c>
      <c r="K99" s="87">
        <f>INDEX(cf!$B$5:$CO$107,MATCH($D99,cf!$A$5:$A$107,0),MATCH(K$6,cf!$B$3:$CO$3,0))</f>
        <v>22.8</v>
      </c>
      <c r="L99" s="87">
        <f>INDEX(cf!$B$5:$CO$107,MATCH($D99,cf!$A$5:$A$107,0),MATCH(L$6,cf!$B$3:$CO$3,0))</f>
        <v>14.9</v>
      </c>
      <c r="M99" s="87">
        <f>INDEX(cf!$B$5:$CO$107,MATCH($D99,cf!$A$5:$A$107,0),MATCH(M$6,cf!$B$3:$CO$3,0))</f>
        <v>15</v>
      </c>
      <c r="N99" s="87">
        <f>INDEX(cf!$B$5:$CO$107,MATCH($D99,cf!$A$5:$A$107,0),MATCH(N$6,cf!$B$3:$CO$3,0))</f>
        <v>17.3</v>
      </c>
      <c r="O99" s="87">
        <f>INDEX(cf!$B$5:$CO$107,MATCH($D99,cf!$A$5:$A$107,0),MATCH(O$6,cf!$B$3:$CO$3,0))</f>
        <v>12.8</v>
      </c>
      <c r="P99" s="87">
        <f>INDEX(cf!$B$5:$CO$107,MATCH($D99,cf!$A$5:$A$107,0),MATCH(P$6,cf!$B$3:$CO$3,0))</f>
        <v>13.5</v>
      </c>
      <c r="Q99" s="87">
        <f>Q12</f>
        <v>39.274954426962282</v>
      </c>
      <c r="R99" s="87">
        <f>R12</f>
        <v>55.560396517059203</v>
      </c>
      <c r="S99" s="87">
        <f>S12</f>
        <v>61.175518078176857</v>
      </c>
      <c r="T99" s="87">
        <f>T12</f>
        <v>69.54955021774829</v>
      </c>
      <c r="U99" s="87">
        <f t="shared" ref="U99:V99" si="207">U12</f>
        <v>81.454959480766917</v>
      </c>
      <c r="V99" s="87">
        <f t="shared" si="207"/>
        <v>95.990302592313938</v>
      </c>
      <c r="W99" s="87">
        <f t="shared" ref="W99" si="208">W12</f>
        <v>112.95962839445417</v>
      </c>
    </row>
    <row r="100" spans="2:23" x14ac:dyDescent="0.3">
      <c r="B100" s="21" t="s">
        <v>24</v>
      </c>
      <c r="E100" s="30">
        <f>ROUND(E99-E97,0)</f>
        <v>0</v>
      </c>
      <c r="F100" s="30">
        <f t="shared" ref="F100:T100" si="209">ROUND(F99-F97,0)</f>
        <v>0</v>
      </c>
      <c r="G100" s="30">
        <f t="shared" si="209"/>
        <v>0</v>
      </c>
      <c r="H100" s="30">
        <f t="shared" si="209"/>
        <v>0</v>
      </c>
      <c r="I100" s="30">
        <f t="shared" si="209"/>
        <v>0</v>
      </c>
      <c r="J100" s="30">
        <f t="shared" si="209"/>
        <v>0</v>
      </c>
      <c r="K100" s="30">
        <f t="shared" si="209"/>
        <v>0</v>
      </c>
      <c r="L100" s="30">
        <f t="shared" si="209"/>
        <v>0</v>
      </c>
      <c r="M100" s="30">
        <f t="shared" ref="M100:O100" si="210">ROUND(M99-M97,0)</f>
        <v>0</v>
      </c>
      <c r="N100" s="30">
        <f t="shared" si="210"/>
        <v>0</v>
      </c>
      <c r="O100" s="30">
        <f t="shared" si="210"/>
        <v>0</v>
      </c>
      <c r="P100" s="30">
        <f t="shared" ref="P100" si="211">ROUND(P99-P97,0)</f>
        <v>0</v>
      </c>
      <c r="Q100" s="30">
        <f t="shared" si="209"/>
        <v>0</v>
      </c>
      <c r="R100" s="30">
        <f t="shared" si="209"/>
        <v>0</v>
      </c>
      <c r="S100" s="30">
        <f t="shared" si="209"/>
        <v>0</v>
      </c>
      <c r="T100" s="30">
        <f t="shared" si="209"/>
        <v>0</v>
      </c>
      <c r="U100" s="30">
        <f t="shared" ref="U100:V100" si="212">ROUND(U99-U97,0)</f>
        <v>0</v>
      </c>
      <c r="V100" s="30">
        <f t="shared" si="212"/>
        <v>0</v>
      </c>
      <c r="W100" s="30">
        <f t="shared" ref="W100" si="213">ROUND(W99-W97,0)</f>
        <v>0</v>
      </c>
    </row>
  </sheetData>
  <sheetProtection algorithmName="SHA-512" hashValue="vQDrRW1ny86GkM+6KwHSH6ha6SDp7AmG4SH5O1YZVYLvkQcQDpiMEhr7aQ0L5eiTGqqubmu9RDRxYAiz7nabHg==" saltValue="PYCunvlxQLu4Fx8cHHs0Lw==" spinCount="100000" sheet="1" selectLockedCells="1"/>
  <conditionalFormatting sqref="E46:W46 E69:W69 E100:W100">
    <cfRule type="cellIs" dxfId="4" priority="46" operator="equal">
      <formula>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D2E710A-171D-47AC-95F6-04A30387347E}">
            <xm:f>D$6&gt;cover!$E$13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E12:W15 E17:W21 E24:W26 E28:W31 E36:W40 E42:W43 E50:W51 E58:W58 E60:W60 E64:W64 E66:W66 D72 E73:W77 E79:W84 E86:W91 E95:W96 E53:W54 E56:W56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D5BE-0D9E-4093-8F12-2222BD290101}">
  <sheetPr>
    <tabColor theme="4" tint="0.79998168889431442"/>
  </sheetPr>
  <dimension ref="A1:P10"/>
  <sheetViews>
    <sheetView workbookViewId="0">
      <selection activeCell="E10" sqref="E10"/>
    </sheetView>
  </sheetViews>
  <sheetFormatPr defaultColWidth="9.109375" defaultRowHeight="14.4" x14ac:dyDescent="0.3"/>
  <cols>
    <col min="1" max="1" width="2.6640625" style="1" customWidth="1"/>
    <col min="2" max="5" width="12.6640625" style="1" customWidth="1"/>
    <col min="6" max="6" width="12.6640625" style="8" customWidth="1"/>
    <col min="7" max="52" width="12.6640625" style="1" customWidth="1"/>
    <col min="53" max="16384" width="9.109375" style="1"/>
  </cols>
  <sheetData>
    <row r="1" spans="1:16" ht="33.6" x14ac:dyDescent="0.65">
      <c r="B1" s="66" t="s">
        <v>133</v>
      </c>
    </row>
    <row r="2" spans="1:16" s="15" customFormat="1" ht="15" thickBot="1" x14ac:dyDescent="0.35">
      <c r="A2" s="13"/>
      <c r="B2" s="14" t="str">
        <f ca="1">UPPER(cover!E8&amp;" - "&amp;DAY(cover!E12)&amp;"/"&amp;MONTH(cover!E12)&amp;"/"&amp;YEAR(cover!E12))</f>
        <v>FOCUSRITE PLC - 20/5/2023</v>
      </c>
      <c r="F2" s="13"/>
    </row>
    <row r="3" spans="1:16" ht="15" thickTop="1" x14ac:dyDescent="0.3">
      <c r="B3" s="25" t="str">
        <f>IF($E$10&lt;&gt;0,"**ERROR**","")</f>
        <v/>
      </c>
    </row>
    <row r="4" spans="1:16" s="3" customFormat="1" x14ac:dyDescent="0.3">
      <c r="A4" s="5"/>
      <c r="B4" s="2" t="s">
        <v>25</v>
      </c>
      <c r="F4" s="4"/>
    </row>
    <row r="6" spans="1:16" x14ac:dyDescent="0.3">
      <c r="B6" s="1" t="s">
        <v>26</v>
      </c>
      <c r="E6" s="23">
        <f>ROUND(SUM('detailed-financials'!E46:R46),0)</f>
        <v>0</v>
      </c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B7" s="1" t="s">
        <v>27</v>
      </c>
      <c r="E7" s="23">
        <f>ROUND(SUM('detailed-financials'!E69:R69),0)</f>
        <v>0</v>
      </c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B8" s="1" t="s">
        <v>28</v>
      </c>
      <c r="E8" s="23">
        <f>ROUND(SUM('detailed-financials'!E100:R100),0)</f>
        <v>0</v>
      </c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</row>
    <row r="10" spans="1:16" x14ac:dyDescent="0.3">
      <c r="B10" s="21" t="s">
        <v>24</v>
      </c>
      <c r="E10" s="23">
        <f>SUM(E6:E8)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</sheetData>
  <sheetProtection algorithmName="SHA-512" hashValue="SeOSN9fBNu5kvBwC/dXyy6Swn7s63BY1avSh8REWxDxH1AsirrC9vfKFz0FGMiUF/suMPMHxmu+67F38JEFZ+A==" saltValue="WEQbou6MqZaeEsS2SgzqDg==" spinCount="100000" sheet="1" objects="1" scenarios="1" selectLockedCells="1" selectUnlockedCells="1"/>
  <conditionalFormatting sqref="E6:E8">
    <cfRule type="cellIs" dxfId="2" priority="2" operator="equal">
      <formula>0</formula>
    </cfRule>
  </conditionalFormatting>
  <conditionalFormatting sqref="E10">
    <cfRule type="cellIs" dxfId="1" priority="1" operator="equal">
      <formula>0</formula>
    </cfRule>
  </conditionalFormatting>
  <conditionalFormatting sqref="F10:P10">
    <cfRule type="cellIs" dxfId="0" priority="3" operator="not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E03B-BD75-4287-81A8-0D85D722E39E}">
  <sheetPr>
    <tabColor theme="6" tint="0.59999389629810485"/>
  </sheetPr>
  <dimension ref="A1"/>
  <sheetViews>
    <sheetView workbookViewId="0">
      <selection activeCell="M4" sqref="M4"/>
    </sheetView>
  </sheetViews>
  <sheetFormatPr defaultRowHeight="14.4" x14ac:dyDescent="0.3"/>
  <cols>
    <col min="1" max="16384" width="8.88671875" style="70"/>
  </cols>
  <sheetData/>
  <sheetProtection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077A-DC99-4B90-B66F-BAB7DCE72D01}">
  <sheetPr>
    <tabColor theme="6" tint="0.59999389629810485"/>
  </sheetPr>
  <dimension ref="A1:G14"/>
  <sheetViews>
    <sheetView workbookViewId="0">
      <selection sqref="A1:XFD1048576"/>
    </sheetView>
  </sheetViews>
  <sheetFormatPr defaultRowHeight="14.4" x14ac:dyDescent="0.3"/>
  <cols>
    <col min="1" max="1" width="23.21875" bestFit="1" customWidth="1"/>
    <col min="2" max="2" width="9.33203125" bestFit="1" customWidth="1"/>
    <col min="3" max="3" width="9" bestFit="1" customWidth="1"/>
    <col min="4" max="4" width="9.33203125" bestFit="1" customWidth="1"/>
    <col min="5" max="5" width="9" bestFit="1" customWidth="1"/>
    <col min="6" max="6" width="9.33203125" bestFit="1" customWidth="1"/>
    <col min="7" max="7" width="9" bestFit="1" customWidth="1"/>
  </cols>
  <sheetData>
    <row r="1" spans="1:7" x14ac:dyDescent="0.3">
      <c r="A1" t="s">
        <v>136</v>
      </c>
      <c r="B1">
        <v>2023</v>
      </c>
      <c r="D1">
        <v>2024</v>
      </c>
      <c r="F1">
        <v>2025</v>
      </c>
    </row>
    <row r="2" spans="1:7" x14ac:dyDescent="0.3">
      <c r="A2" t="s">
        <v>137</v>
      </c>
      <c r="B2" s="68">
        <v>180.5</v>
      </c>
      <c r="C2" s="69">
        <v>-1.77E-2</v>
      </c>
      <c r="D2" s="68">
        <v>188.2</v>
      </c>
      <c r="E2" s="69">
        <v>4.2999999999999997E-2</v>
      </c>
      <c r="F2" s="68">
        <v>197.9</v>
      </c>
      <c r="G2" s="69">
        <v>5.1200000000000002E-2</v>
      </c>
    </row>
    <row r="3" spans="1:7" x14ac:dyDescent="0.3">
      <c r="A3" t="s">
        <v>36</v>
      </c>
      <c r="B3" s="68">
        <v>39.6</v>
      </c>
      <c r="C3" s="69">
        <v>-4.99E-2</v>
      </c>
      <c r="D3" s="68">
        <v>42</v>
      </c>
      <c r="E3" s="69">
        <v>6.1600000000000002E-2</v>
      </c>
      <c r="F3" s="68">
        <v>44.6</v>
      </c>
      <c r="G3" s="69">
        <v>6.0900000000000003E-2</v>
      </c>
    </row>
    <row r="4" spans="1:7" x14ac:dyDescent="0.3">
      <c r="A4" t="s">
        <v>38</v>
      </c>
      <c r="B4" s="68">
        <v>31.9</v>
      </c>
      <c r="C4" s="69">
        <v>0.115</v>
      </c>
      <c r="D4" s="68">
        <v>33.9</v>
      </c>
      <c r="E4" s="69">
        <v>5.9499999999999997E-2</v>
      </c>
      <c r="F4" s="68">
        <v>35.799999999999997</v>
      </c>
      <c r="G4" s="69">
        <v>5.7599999999999998E-2</v>
      </c>
    </row>
    <row r="5" spans="1:7" x14ac:dyDescent="0.3">
      <c r="A5" t="s">
        <v>138</v>
      </c>
      <c r="B5" s="68">
        <v>29.6</v>
      </c>
      <c r="C5" s="69">
        <v>-3.1300000000000001E-2</v>
      </c>
      <c r="D5" s="68">
        <v>31.5</v>
      </c>
      <c r="E5" s="69">
        <v>6.54E-2</v>
      </c>
      <c r="F5" s="68">
        <v>33.200000000000003</v>
      </c>
      <c r="G5" s="69">
        <v>5.3999999999999999E-2</v>
      </c>
    </row>
    <row r="6" spans="1:7" x14ac:dyDescent="0.3">
      <c r="A6" t="s">
        <v>140</v>
      </c>
      <c r="B6" s="68">
        <v>24.3</v>
      </c>
      <c r="C6" s="69">
        <v>-0.20780000000000001</v>
      </c>
      <c r="D6" s="68">
        <v>25.2</v>
      </c>
      <c r="E6" s="69">
        <v>3.8399999999999997E-2</v>
      </c>
      <c r="F6" s="68">
        <v>27</v>
      </c>
      <c r="G6" s="69">
        <v>7.2700000000000001E-2</v>
      </c>
    </row>
    <row r="7" spans="1:7" x14ac:dyDescent="0.3">
      <c r="A7" t="s">
        <v>295</v>
      </c>
      <c r="B7" s="68">
        <v>40.299999999999997</v>
      </c>
      <c r="C7" s="69">
        <v>-0.22420000000000001</v>
      </c>
      <c r="D7" s="68">
        <v>41.6</v>
      </c>
      <c r="E7" s="69">
        <v>3.0200000000000001E-2</v>
      </c>
      <c r="F7" s="68">
        <v>43.9</v>
      </c>
      <c r="G7" s="69">
        <v>5.7000000000000002E-2</v>
      </c>
    </row>
    <row r="8" spans="1:7" x14ac:dyDescent="0.3">
      <c r="A8" t="s">
        <v>296</v>
      </c>
      <c r="B8" s="68">
        <v>5.98</v>
      </c>
      <c r="C8" s="69">
        <v>-3.7000000000000002E-3</v>
      </c>
      <c r="D8" s="68">
        <v>6.45</v>
      </c>
      <c r="E8" s="69">
        <v>7.9000000000000001E-2</v>
      </c>
      <c r="F8" s="68">
        <v>6.96</v>
      </c>
      <c r="G8" s="69">
        <v>7.8799999999999995E-2</v>
      </c>
    </row>
    <row r="9" spans="1:7" x14ac:dyDescent="0.3">
      <c r="A9" t="s">
        <v>141</v>
      </c>
      <c r="B9" s="68">
        <v>12.6</v>
      </c>
      <c r="C9" s="69">
        <v>7.4000000000000003E-3</v>
      </c>
      <c r="D9" s="68">
        <v>13.1</v>
      </c>
      <c r="E9" s="69">
        <v>3.9699999999999999E-2</v>
      </c>
      <c r="F9" s="68">
        <v>13.8</v>
      </c>
      <c r="G9" s="69">
        <v>5.3400000000000003E-2</v>
      </c>
    </row>
    <row r="10" spans="1:7" x14ac:dyDescent="0.3">
      <c r="A10" t="s">
        <v>142</v>
      </c>
      <c r="B10" s="68">
        <v>17.399999999999999</v>
      </c>
      <c r="C10" s="69"/>
      <c r="D10" s="68">
        <v>21.7</v>
      </c>
      <c r="E10" s="69">
        <v>0.251</v>
      </c>
      <c r="F10" s="68">
        <v>24.2</v>
      </c>
      <c r="G10" s="69">
        <v>0.115</v>
      </c>
    </row>
    <row r="11" spans="1:7" x14ac:dyDescent="0.3">
      <c r="A11" t="s">
        <v>143</v>
      </c>
      <c r="B11" s="68">
        <v>-5.85</v>
      </c>
      <c r="C11" s="69"/>
      <c r="D11" s="68">
        <v>-14.61</v>
      </c>
      <c r="E11" s="69"/>
      <c r="F11" s="68">
        <v>-29.95</v>
      </c>
      <c r="G11" s="69"/>
    </row>
    <row r="12" spans="1:7" x14ac:dyDescent="0.3">
      <c r="A12" t="s">
        <v>144</v>
      </c>
      <c r="B12" s="68" t="s">
        <v>139</v>
      </c>
      <c r="C12" s="69"/>
      <c r="D12" s="68" t="s">
        <v>139</v>
      </c>
      <c r="E12" s="69"/>
      <c r="F12" s="68" t="s">
        <v>139</v>
      </c>
      <c r="G12" s="68"/>
    </row>
    <row r="13" spans="1:7" x14ac:dyDescent="0.3">
      <c r="A13" t="s">
        <v>145</v>
      </c>
      <c r="B13" s="68" t="s">
        <v>139</v>
      </c>
      <c r="C13" s="69"/>
      <c r="D13" s="68" t="s">
        <v>139</v>
      </c>
      <c r="E13" s="69"/>
      <c r="F13" s="68" t="s">
        <v>139</v>
      </c>
      <c r="G13" s="68"/>
    </row>
    <row r="14" spans="1:7" x14ac:dyDescent="0.3">
      <c r="B14" s="68"/>
      <c r="C14" s="68"/>
      <c r="D14" s="68"/>
      <c r="E14" s="68"/>
      <c r="F14" s="68"/>
      <c r="G14" s="68"/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5C48-F607-49CE-93AC-C793C8ABBDEA}">
  <sheetPr>
    <tabColor theme="6" tint="0.59999389629810485"/>
  </sheetPr>
  <dimension ref="A2:X60"/>
  <sheetViews>
    <sheetView workbookViewId="0">
      <pane xSplit="1" ySplit="4" topLeftCell="J11" activePane="bottomRight" state="frozen"/>
      <selection pane="topRight" activeCell="B1" sqref="B1"/>
      <selection pane="bottomLeft" activeCell="A5" sqref="A5"/>
      <selection pane="bottomRight" activeCell="V23" sqref="V23"/>
    </sheetView>
  </sheetViews>
  <sheetFormatPr defaultRowHeight="14.4" x14ac:dyDescent="0.3"/>
  <cols>
    <col min="1" max="1" width="30.6640625" bestFit="1" customWidth="1"/>
    <col min="2" max="24" width="11.109375" bestFit="1" customWidth="1"/>
  </cols>
  <sheetData>
    <row r="2" spans="1:24" x14ac:dyDescent="0.3">
      <c r="A2" t="s">
        <v>136</v>
      </c>
      <c r="B2">
        <v>2012</v>
      </c>
      <c r="C2">
        <v>2013</v>
      </c>
      <c r="D2">
        <v>2014</v>
      </c>
      <c r="E2">
        <v>2014</v>
      </c>
      <c r="F2">
        <v>2015</v>
      </c>
      <c r="G2">
        <v>2015</v>
      </c>
      <c r="H2">
        <v>2016</v>
      </c>
      <c r="I2">
        <v>2016</v>
      </c>
      <c r="J2">
        <v>2017</v>
      </c>
      <c r="K2">
        <v>2017</v>
      </c>
      <c r="L2">
        <v>2018</v>
      </c>
      <c r="M2">
        <v>2018</v>
      </c>
      <c r="N2">
        <v>2019</v>
      </c>
      <c r="O2">
        <v>2019</v>
      </c>
      <c r="P2">
        <v>2020</v>
      </c>
      <c r="Q2">
        <v>2020</v>
      </c>
      <c r="R2">
        <v>2021</v>
      </c>
      <c r="S2">
        <v>2021</v>
      </c>
      <c r="T2">
        <v>2022</v>
      </c>
      <c r="U2">
        <v>2022</v>
      </c>
      <c r="V2">
        <v>2023</v>
      </c>
    </row>
    <row r="3" spans="1:24" x14ac:dyDescent="0.3">
      <c r="A3" t="s">
        <v>146</v>
      </c>
      <c r="B3" s="67">
        <v>41152</v>
      </c>
      <c r="C3" s="67">
        <v>41517</v>
      </c>
      <c r="D3" s="67">
        <v>41698</v>
      </c>
      <c r="E3" s="67">
        <v>41882</v>
      </c>
      <c r="F3" s="67">
        <v>42063</v>
      </c>
      <c r="G3" s="67">
        <v>42247</v>
      </c>
      <c r="H3" s="67">
        <v>42429</v>
      </c>
      <c r="I3" s="67">
        <v>42613</v>
      </c>
      <c r="J3" s="67">
        <v>42794</v>
      </c>
      <c r="K3" s="67">
        <v>42978</v>
      </c>
      <c r="L3" s="67">
        <v>43159</v>
      </c>
      <c r="M3" s="67">
        <v>43343</v>
      </c>
      <c r="N3" s="67">
        <v>43524</v>
      </c>
      <c r="O3" s="67">
        <v>43708</v>
      </c>
      <c r="P3" s="67">
        <v>43890</v>
      </c>
      <c r="Q3" s="67">
        <v>44074</v>
      </c>
      <c r="R3" s="67">
        <v>44255</v>
      </c>
      <c r="S3" s="67">
        <v>44439</v>
      </c>
      <c r="T3" s="67">
        <v>44620</v>
      </c>
      <c r="U3" s="67">
        <v>44804</v>
      </c>
      <c r="V3" s="67">
        <v>44985</v>
      </c>
      <c r="W3" s="67"/>
      <c r="X3" s="67"/>
    </row>
    <row r="4" spans="1:24" x14ac:dyDescent="0.3">
      <c r="A4" t="s">
        <v>147</v>
      </c>
      <c r="B4" t="s">
        <v>286</v>
      </c>
      <c r="C4" t="s">
        <v>286</v>
      </c>
      <c r="D4" t="s">
        <v>309</v>
      </c>
      <c r="E4" t="s">
        <v>286</v>
      </c>
      <c r="F4" t="s">
        <v>309</v>
      </c>
      <c r="G4" t="s">
        <v>286</v>
      </c>
      <c r="H4" t="s">
        <v>309</v>
      </c>
      <c r="I4" t="s">
        <v>286</v>
      </c>
      <c r="J4" t="s">
        <v>309</v>
      </c>
      <c r="K4" t="s">
        <v>286</v>
      </c>
      <c r="L4" t="s">
        <v>309</v>
      </c>
      <c r="M4" t="s">
        <v>286</v>
      </c>
      <c r="N4" t="s">
        <v>309</v>
      </c>
      <c r="O4" t="s">
        <v>286</v>
      </c>
      <c r="P4" t="s">
        <v>309</v>
      </c>
      <c r="Q4" t="s">
        <v>286</v>
      </c>
      <c r="R4" t="s">
        <v>309</v>
      </c>
      <c r="S4" t="s">
        <v>286</v>
      </c>
      <c r="T4" t="s">
        <v>309</v>
      </c>
      <c r="U4" t="s">
        <v>286</v>
      </c>
      <c r="V4" t="s">
        <v>309</v>
      </c>
    </row>
    <row r="5" spans="1:24" x14ac:dyDescent="0.3">
      <c r="A5" t="s">
        <v>148</v>
      </c>
    </row>
    <row r="6" spans="1:24" x14ac:dyDescent="0.3">
      <c r="A6" t="s">
        <v>249</v>
      </c>
    </row>
    <row r="7" spans="1:24" x14ac:dyDescent="0.3">
      <c r="A7" t="s">
        <v>137</v>
      </c>
      <c r="B7">
        <v>25.3</v>
      </c>
      <c r="C7">
        <v>36.1</v>
      </c>
      <c r="D7">
        <v>20.3</v>
      </c>
      <c r="E7">
        <v>41</v>
      </c>
      <c r="F7">
        <v>23.8</v>
      </c>
      <c r="G7">
        <v>48</v>
      </c>
      <c r="H7">
        <v>25.9</v>
      </c>
      <c r="I7">
        <v>54.3</v>
      </c>
      <c r="J7">
        <v>32</v>
      </c>
      <c r="K7">
        <v>66.099999999999994</v>
      </c>
      <c r="L7">
        <v>38.799999999999997</v>
      </c>
      <c r="M7">
        <v>75.099999999999994</v>
      </c>
      <c r="N7">
        <v>40.4</v>
      </c>
      <c r="O7">
        <v>84.7</v>
      </c>
      <c r="P7">
        <v>49.9</v>
      </c>
      <c r="Q7">
        <v>130.1</v>
      </c>
      <c r="R7">
        <v>95.3</v>
      </c>
      <c r="S7">
        <v>173.9</v>
      </c>
      <c r="T7">
        <v>92.9</v>
      </c>
      <c r="U7">
        <v>183.7</v>
      </c>
      <c r="V7">
        <v>86.2</v>
      </c>
    </row>
    <row r="8" spans="1:24" x14ac:dyDescent="0.3">
      <c r="A8" t="s">
        <v>33</v>
      </c>
      <c r="B8">
        <v>-15.6</v>
      </c>
      <c r="C8">
        <v>-21.8</v>
      </c>
      <c r="D8">
        <v>-12.1</v>
      </c>
      <c r="E8">
        <v>-25.1</v>
      </c>
      <c r="F8">
        <v>-14.4</v>
      </c>
      <c r="G8">
        <v>-29.4</v>
      </c>
      <c r="H8">
        <v>-15.6</v>
      </c>
      <c r="I8">
        <v>-33.4</v>
      </c>
      <c r="J8">
        <v>-19.2</v>
      </c>
      <c r="K8">
        <v>-39.700000000000003</v>
      </c>
      <c r="L8">
        <v>-22.6</v>
      </c>
      <c r="M8">
        <v>-43.4</v>
      </c>
      <c r="N8">
        <v>-22.5</v>
      </c>
      <c r="O8">
        <v>-48.9</v>
      </c>
      <c r="P8">
        <v>-26.9</v>
      </c>
      <c r="Q8">
        <v>-70.2</v>
      </c>
      <c r="R8">
        <v>-49.6</v>
      </c>
      <c r="S8">
        <v>-89.8</v>
      </c>
      <c r="T8">
        <v>-49.6</v>
      </c>
      <c r="U8">
        <v>-100.5</v>
      </c>
      <c r="V8">
        <v>-45.6</v>
      </c>
    </row>
    <row r="9" spans="1:24" x14ac:dyDescent="0.3">
      <c r="A9" t="s">
        <v>34</v>
      </c>
      <c r="B9">
        <v>9.6999999999999993</v>
      </c>
      <c r="C9">
        <v>14.3</v>
      </c>
      <c r="D9">
        <v>8.1</v>
      </c>
      <c r="E9">
        <v>15.9</v>
      </c>
      <c r="F9">
        <v>9.4</v>
      </c>
      <c r="G9">
        <v>18.600000000000001</v>
      </c>
      <c r="H9">
        <v>10.3</v>
      </c>
      <c r="I9">
        <v>20.9</v>
      </c>
      <c r="J9">
        <v>12.9</v>
      </c>
      <c r="K9">
        <v>26.4</v>
      </c>
      <c r="L9">
        <v>16.2</v>
      </c>
      <c r="M9">
        <v>31.7</v>
      </c>
      <c r="N9">
        <v>17.899999999999999</v>
      </c>
      <c r="O9">
        <v>35.799999999999997</v>
      </c>
      <c r="P9">
        <v>23</v>
      </c>
      <c r="Q9">
        <v>59.9</v>
      </c>
      <c r="R9">
        <v>45.7</v>
      </c>
      <c r="S9">
        <v>84.1</v>
      </c>
      <c r="T9">
        <v>43.3</v>
      </c>
      <c r="U9">
        <v>83.3</v>
      </c>
      <c r="V9">
        <v>40.6</v>
      </c>
    </row>
    <row r="10" spans="1:24" x14ac:dyDescent="0.3">
      <c r="A10" t="s">
        <v>250</v>
      </c>
      <c r="B10">
        <v>-7.1</v>
      </c>
      <c r="C10">
        <v>-8.9</v>
      </c>
      <c r="D10">
        <v>-5.0999999999999996</v>
      </c>
      <c r="E10">
        <v>-10.199999999999999</v>
      </c>
      <c r="F10">
        <v>-6.4</v>
      </c>
      <c r="G10">
        <v>-12.3</v>
      </c>
      <c r="H10">
        <v>-7.2</v>
      </c>
      <c r="I10">
        <v>-13.7</v>
      </c>
      <c r="J10">
        <v>-8.3000000000000007</v>
      </c>
      <c r="K10">
        <v>-16.899999999999999</v>
      </c>
      <c r="L10">
        <v>-10</v>
      </c>
      <c r="M10">
        <v>-19.7</v>
      </c>
      <c r="N10">
        <v>-10.7</v>
      </c>
      <c r="O10">
        <v>-23</v>
      </c>
      <c r="P10">
        <v>-19.3</v>
      </c>
      <c r="Q10">
        <v>-51.5</v>
      </c>
      <c r="R10">
        <v>-21.5</v>
      </c>
      <c r="S10">
        <v>-48.4</v>
      </c>
      <c r="T10">
        <v>-27</v>
      </c>
      <c r="U10">
        <v>-54.6</v>
      </c>
      <c r="V10">
        <v>-29.2</v>
      </c>
    </row>
    <row r="11" spans="1:24" x14ac:dyDescent="0.3">
      <c r="A11" t="s">
        <v>251</v>
      </c>
      <c r="B11">
        <v>2.6</v>
      </c>
      <c r="C11">
        <v>5.3</v>
      </c>
      <c r="D11">
        <v>3</v>
      </c>
      <c r="E11">
        <v>5.7</v>
      </c>
      <c r="F11">
        <v>3</v>
      </c>
      <c r="G11">
        <v>6.3</v>
      </c>
      <c r="H11">
        <v>3.2</v>
      </c>
      <c r="I11">
        <v>7.1</v>
      </c>
      <c r="J11" s="96">
        <v>4.5999999999999996</v>
      </c>
      <c r="K11" s="96">
        <v>9.5</v>
      </c>
      <c r="L11">
        <v>6.2</v>
      </c>
      <c r="M11">
        <v>11.9</v>
      </c>
      <c r="N11">
        <v>7.3</v>
      </c>
      <c r="O11">
        <v>12.8</v>
      </c>
      <c r="P11">
        <v>3.7</v>
      </c>
      <c r="Q11">
        <v>8.4</v>
      </c>
      <c r="R11">
        <v>24.2</v>
      </c>
      <c r="S11">
        <v>35.799999999999997</v>
      </c>
      <c r="T11">
        <v>16.3</v>
      </c>
      <c r="U11">
        <v>28.7</v>
      </c>
      <c r="V11">
        <v>11.5</v>
      </c>
    </row>
    <row r="12" spans="1:24" x14ac:dyDescent="0.3">
      <c r="A12" t="s">
        <v>252</v>
      </c>
      <c r="B12">
        <v>0</v>
      </c>
      <c r="D12">
        <v>-0.1</v>
      </c>
      <c r="E12">
        <v>0.1</v>
      </c>
      <c r="F12">
        <v>0.5</v>
      </c>
      <c r="G12">
        <v>0</v>
      </c>
      <c r="H12">
        <v>-0.7</v>
      </c>
      <c r="I12">
        <v>-0.1</v>
      </c>
      <c r="J12" s="96">
        <v>0</v>
      </c>
      <c r="K12" s="96">
        <v>0</v>
      </c>
      <c r="L12">
        <v>-0.4</v>
      </c>
      <c r="M12">
        <v>0</v>
      </c>
      <c r="N12">
        <v>-0.1</v>
      </c>
      <c r="O12">
        <v>0.1</v>
      </c>
      <c r="P12">
        <v>-0.3</v>
      </c>
      <c r="Q12">
        <v>-0.5</v>
      </c>
      <c r="R12">
        <v>-0.6</v>
      </c>
      <c r="S12">
        <v>-0.4</v>
      </c>
      <c r="T12">
        <v>0.2</v>
      </c>
      <c r="U12">
        <v>-0.5</v>
      </c>
      <c r="V12">
        <v>-0.6</v>
      </c>
    </row>
    <row r="13" spans="1:24" x14ac:dyDescent="0.3">
      <c r="A13" t="s">
        <v>293</v>
      </c>
      <c r="K13" s="96"/>
    </row>
    <row r="14" spans="1:24" x14ac:dyDescent="0.3">
      <c r="A14" t="s">
        <v>253</v>
      </c>
      <c r="B14">
        <v>0.4</v>
      </c>
      <c r="C14">
        <v>-0.1</v>
      </c>
      <c r="D14">
        <v>0</v>
      </c>
      <c r="E14">
        <v>0.1</v>
      </c>
      <c r="G14">
        <v>0.2</v>
      </c>
      <c r="I14">
        <v>0.1</v>
      </c>
      <c r="J14" s="96"/>
      <c r="K14" s="96">
        <v>0.1</v>
      </c>
      <c r="M14">
        <v>-0.2</v>
      </c>
      <c r="O14">
        <v>0.1</v>
      </c>
      <c r="P14">
        <v>-0.6</v>
      </c>
      <c r="Q14">
        <v>-0.9</v>
      </c>
      <c r="S14">
        <v>-0.3</v>
      </c>
      <c r="T14">
        <v>0.8</v>
      </c>
      <c r="U14">
        <v>2.4</v>
      </c>
    </row>
    <row r="15" spans="1:24" x14ac:dyDescent="0.3">
      <c r="A15" t="s">
        <v>138</v>
      </c>
      <c r="B15">
        <v>3</v>
      </c>
      <c r="C15">
        <v>5.2</v>
      </c>
      <c r="D15">
        <v>2.9</v>
      </c>
      <c r="E15">
        <v>5.8</v>
      </c>
      <c r="F15">
        <v>3.5</v>
      </c>
      <c r="G15">
        <v>6.5</v>
      </c>
      <c r="H15">
        <v>2.4</v>
      </c>
      <c r="I15">
        <v>7.1</v>
      </c>
      <c r="J15" s="96">
        <v>4.5999999999999996</v>
      </c>
      <c r="K15" s="96">
        <v>9.5</v>
      </c>
      <c r="L15">
        <v>5.8</v>
      </c>
      <c r="M15">
        <v>11.7</v>
      </c>
      <c r="N15">
        <v>7.2</v>
      </c>
      <c r="O15">
        <v>13</v>
      </c>
      <c r="P15">
        <v>2.7</v>
      </c>
      <c r="Q15">
        <v>7</v>
      </c>
      <c r="R15">
        <v>23.6</v>
      </c>
      <c r="S15">
        <v>35</v>
      </c>
      <c r="T15">
        <v>16.5</v>
      </c>
      <c r="U15">
        <v>30.5</v>
      </c>
      <c r="V15">
        <v>10.9</v>
      </c>
    </row>
    <row r="16" spans="1:24" x14ac:dyDescent="0.3">
      <c r="A16" t="s">
        <v>254</v>
      </c>
      <c r="B16">
        <v>-0.3</v>
      </c>
      <c r="C16">
        <v>-0.6</v>
      </c>
      <c r="D16">
        <v>-0.4</v>
      </c>
      <c r="E16">
        <v>-0.8</v>
      </c>
      <c r="F16">
        <v>-0.6</v>
      </c>
      <c r="G16">
        <v>-1</v>
      </c>
      <c r="H16">
        <v>-0.3</v>
      </c>
      <c r="I16">
        <v>-0.9</v>
      </c>
      <c r="J16">
        <v>-0.6</v>
      </c>
      <c r="K16">
        <v>-1</v>
      </c>
      <c r="L16">
        <v>-0.7</v>
      </c>
      <c r="M16">
        <v>-1.2</v>
      </c>
      <c r="N16">
        <v>-0.8</v>
      </c>
      <c r="O16">
        <v>-1.3</v>
      </c>
      <c r="P16">
        <v>-0.6</v>
      </c>
      <c r="Q16">
        <v>-2.9</v>
      </c>
      <c r="R16">
        <v>-4.3</v>
      </c>
      <c r="S16">
        <v>-6.8</v>
      </c>
      <c r="T16">
        <v>-3.1</v>
      </c>
      <c r="U16">
        <v>-5.8</v>
      </c>
      <c r="V16">
        <v>-2.4</v>
      </c>
    </row>
    <row r="17" spans="1:22" x14ac:dyDescent="0.3">
      <c r="A17" t="s">
        <v>140</v>
      </c>
      <c r="B17">
        <v>2.7</v>
      </c>
      <c r="C17">
        <v>4.5999999999999996</v>
      </c>
      <c r="D17">
        <v>2.4</v>
      </c>
      <c r="E17">
        <v>5</v>
      </c>
      <c r="F17">
        <v>2.9</v>
      </c>
      <c r="G17">
        <v>5.5</v>
      </c>
      <c r="H17">
        <v>2.1</v>
      </c>
      <c r="I17">
        <v>6.3</v>
      </c>
      <c r="J17">
        <v>4</v>
      </c>
      <c r="K17">
        <v>8.6</v>
      </c>
      <c r="L17">
        <v>5.0999999999999996</v>
      </c>
      <c r="M17">
        <v>10.5</v>
      </c>
      <c r="N17">
        <v>6.4</v>
      </c>
      <c r="O17">
        <v>11.7</v>
      </c>
      <c r="P17">
        <v>2.1</v>
      </c>
      <c r="Q17">
        <v>4.0999999999999996</v>
      </c>
      <c r="R17">
        <v>19.3</v>
      </c>
      <c r="S17">
        <v>28.3</v>
      </c>
      <c r="T17">
        <v>13.5</v>
      </c>
      <c r="U17">
        <v>24.8</v>
      </c>
      <c r="V17">
        <v>8.4</v>
      </c>
    </row>
    <row r="18" spans="1:22" x14ac:dyDescent="0.3">
      <c r="A18" t="s">
        <v>234</v>
      </c>
    </row>
    <row r="19" spans="1:22" x14ac:dyDescent="0.3">
      <c r="A19" t="s">
        <v>255</v>
      </c>
    </row>
    <row r="20" spans="1:22" x14ac:dyDescent="0.3">
      <c r="A20" t="s">
        <v>256</v>
      </c>
    </row>
    <row r="21" spans="1:22" x14ac:dyDescent="0.3">
      <c r="A21" t="s">
        <v>257</v>
      </c>
      <c r="B21">
        <v>2.7</v>
      </c>
      <c r="C21">
        <v>4.5999999999999996</v>
      </c>
      <c r="D21">
        <v>2.4</v>
      </c>
      <c r="E21">
        <v>5</v>
      </c>
      <c r="F21">
        <v>2.9</v>
      </c>
      <c r="G21">
        <v>5.5</v>
      </c>
      <c r="H21">
        <v>2.1</v>
      </c>
      <c r="I21">
        <v>6.3</v>
      </c>
      <c r="J21">
        <v>4</v>
      </c>
      <c r="K21">
        <v>8.6</v>
      </c>
      <c r="L21">
        <v>5.0999999999999996</v>
      </c>
      <c r="M21">
        <v>10.5</v>
      </c>
      <c r="N21">
        <v>6.4</v>
      </c>
      <c r="O21">
        <v>11.7</v>
      </c>
      <c r="P21">
        <v>2.1</v>
      </c>
      <c r="Q21">
        <v>4.0999999999999996</v>
      </c>
      <c r="R21">
        <v>19.3</v>
      </c>
      <c r="S21">
        <v>28.3</v>
      </c>
      <c r="T21">
        <v>13.5</v>
      </c>
      <c r="U21">
        <v>24.8</v>
      </c>
      <c r="V21">
        <v>8.4</v>
      </c>
    </row>
    <row r="22" spans="1:22" x14ac:dyDescent="0.3">
      <c r="A22" t="s">
        <v>258</v>
      </c>
    </row>
    <row r="23" spans="1:22" x14ac:dyDescent="0.3">
      <c r="A23" t="s">
        <v>36</v>
      </c>
      <c r="B23">
        <v>4.4000000000000004</v>
      </c>
      <c r="C23">
        <v>7</v>
      </c>
      <c r="D23">
        <v>3.9</v>
      </c>
      <c r="E23">
        <v>7.6</v>
      </c>
      <c r="F23">
        <v>4.5</v>
      </c>
      <c r="G23">
        <v>8.6</v>
      </c>
      <c r="H23">
        <v>4.3</v>
      </c>
      <c r="I23">
        <v>9.6999999999999993</v>
      </c>
      <c r="J23">
        <v>6.2</v>
      </c>
      <c r="K23">
        <v>13.1</v>
      </c>
      <c r="L23">
        <v>8</v>
      </c>
      <c r="M23">
        <v>15.5</v>
      </c>
      <c r="N23">
        <v>9</v>
      </c>
      <c r="O23">
        <v>16.399999999999999</v>
      </c>
      <c r="P23">
        <v>6.9</v>
      </c>
      <c r="Q23">
        <v>17</v>
      </c>
      <c r="R23">
        <v>29</v>
      </c>
      <c r="S23">
        <v>45.9</v>
      </c>
      <c r="T23">
        <v>22</v>
      </c>
      <c r="U23">
        <v>40.799999999999997</v>
      </c>
      <c r="V23" s="98">
        <v>16.899999999999999</v>
      </c>
    </row>
    <row r="24" spans="1:22" x14ac:dyDescent="0.3">
      <c r="A24" t="s">
        <v>48</v>
      </c>
      <c r="B24">
        <v>-1.4</v>
      </c>
      <c r="C24">
        <v>-1.7</v>
      </c>
      <c r="D24">
        <v>-0.9</v>
      </c>
      <c r="E24">
        <v>-1.9</v>
      </c>
      <c r="F24">
        <v>-1</v>
      </c>
      <c r="G24">
        <v>-2.2999999999999998</v>
      </c>
      <c r="H24">
        <v>-1.1000000000000001</v>
      </c>
      <c r="I24">
        <v>-2.6</v>
      </c>
      <c r="J24">
        <v>-1.6</v>
      </c>
      <c r="K24">
        <v>-3.6</v>
      </c>
      <c r="L24">
        <v>-1.7</v>
      </c>
      <c r="M24">
        <v>-3.5</v>
      </c>
      <c r="N24">
        <v>-1.6</v>
      </c>
      <c r="O24">
        <v>-3.6</v>
      </c>
      <c r="P24">
        <v>-3.9</v>
      </c>
      <c r="Q24">
        <v>-8.6</v>
      </c>
      <c r="R24">
        <v>-4.8</v>
      </c>
      <c r="S24">
        <v>-10.1</v>
      </c>
      <c r="T24">
        <v>-5.4</v>
      </c>
      <c r="U24">
        <v>-12.1</v>
      </c>
      <c r="V24">
        <v>-5.5</v>
      </c>
    </row>
    <row r="25" spans="1:22" x14ac:dyDescent="0.3">
      <c r="A25" t="s">
        <v>38</v>
      </c>
      <c r="B25">
        <v>3</v>
      </c>
      <c r="C25">
        <v>5.2</v>
      </c>
      <c r="D25">
        <v>3</v>
      </c>
      <c r="E25">
        <v>5.7</v>
      </c>
      <c r="F25">
        <v>3.5</v>
      </c>
      <c r="G25">
        <v>6.3</v>
      </c>
      <c r="H25">
        <v>3.2</v>
      </c>
      <c r="I25">
        <v>7.1</v>
      </c>
      <c r="J25">
        <v>4.5999999999999996</v>
      </c>
      <c r="K25">
        <v>9.5</v>
      </c>
      <c r="L25">
        <v>6.2</v>
      </c>
      <c r="M25">
        <v>11.9</v>
      </c>
      <c r="N25">
        <v>7.3</v>
      </c>
      <c r="O25">
        <v>12.8</v>
      </c>
      <c r="P25">
        <v>3</v>
      </c>
      <c r="Q25">
        <v>8.4</v>
      </c>
      <c r="R25">
        <v>24.2</v>
      </c>
      <c r="S25">
        <v>35.799999999999997</v>
      </c>
      <c r="T25">
        <v>16.600000000000001</v>
      </c>
      <c r="U25">
        <v>28.7</v>
      </c>
      <c r="V25" s="98">
        <v>11.5</v>
      </c>
    </row>
    <row r="26" spans="1:22" x14ac:dyDescent="0.3">
      <c r="A26" t="s">
        <v>44</v>
      </c>
      <c r="C26">
        <v>0</v>
      </c>
      <c r="D26">
        <v>-0.1</v>
      </c>
      <c r="H26">
        <v>-0.7</v>
      </c>
      <c r="J26">
        <v>0</v>
      </c>
      <c r="L26">
        <v>-0.4</v>
      </c>
      <c r="N26">
        <v>-0.2</v>
      </c>
      <c r="P26">
        <v>-0.4</v>
      </c>
      <c r="R26">
        <v>-0.6</v>
      </c>
      <c r="T26">
        <v>-0.1</v>
      </c>
      <c r="V26">
        <v>-1.3</v>
      </c>
    </row>
    <row r="27" spans="1:22" x14ac:dyDescent="0.3">
      <c r="A27" t="s">
        <v>138</v>
      </c>
      <c r="B27">
        <v>3</v>
      </c>
      <c r="C27">
        <v>5.2</v>
      </c>
      <c r="D27">
        <v>2.9</v>
      </c>
      <c r="E27">
        <v>5.8</v>
      </c>
      <c r="F27">
        <v>3.5</v>
      </c>
      <c r="G27">
        <v>6.5</v>
      </c>
      <c r="H27">
        <v>2.4</v>
      </c>
      <c r="I27">
        <v>7.1</v>
      </c>
      <c r="J27">
        <v>4.5999999999999996</v>
      </c>
      <c r="K27">
        <v>9.5</v>
      </c>
      <c r="L27">
        <v>5.8</v>
      </c>
      <c r="M27">
        <v>11.7</v>
      </c>
      <c r="N27">
        <v>7.2</v>
      </c>
      <c r="O27">
        <v>13</v>
      </c>
      <c r="P27">
        <v>2.7</v>
      </c>
      <c r="Q27">
        <v>7</v>
      </c>
      <c r="R27">
        <v>23.6</v>
      </c>
      <c r="S27">
        <v>35</v>
      </c>
      <c r="T27">
        <v>16.5</v>
      </c>
      <c r="U27">
        <v>30.5</v>
      </c>
      <c r="V27">
        <v>10.9</v>
      </c>
    </row>
    <row r="28" spans="1:22" x14ac:dyDescent="0.3">
      <c r="A28" t="s">
        <v>259</v>
      </c>
    </row>
    <row r="29" spans="1:22" x14ac:dyDescent="0.3">
      <c r="A29" t="s">
        <v>260</v>
      </c>
    </row>
    <row r="30" spans="1:22" x14ac:dyDescent="0.3">
      <c r="A30" t="s">
        <v>191</v>
      </c>
    </row>
    <row r="31" spans="1:22" x14ac:dyDescent="0.3">
      <c r="A31" t="s">
        <v>261</v>
      </c>
      <c r="F31">
        <v>0.6</v>
      </c>
      <c r="G31">
        <v>1.8</v>
      </c>
      <c r="H31">
        <v>0.7</v>
      </c>
      <c r="I31">
        <v>2</v>
      </c>
      <c r="J31">
        <v>0.7</v>
      </c>
      <c r="K31">
        <v>2.7</v>
      </c>
      <c r="L31">
        <v>1</v>
      </c>
      <c r="M31">
        <v>3.3</v>
      </c>
      <c r="N31">
        <v>1.2</v>
      </c>
      <c r="O31">
        <v>3.8</v>
      </c>
      <c r="P31">
        <v>1.3</v>
      </c>
      <c r="Q31">
        <v>4.2</v>
      </c>
      <c r="R31">
        <v>1.5</v>
      </c>
      <c r="S31">
        <v>5.2</v>
      </c>
      <c r="T31">
        <v>1.9</v>
      </c>
      <c r="U31">
        <v>6</v>
      </c>
      <c r="V31">
        <v>2.1</v>
      </c>
    </row>
    <row r="32" spans="1:22" x14ac:dyDescent="0.3">
      <c r="A32" t="s">
        <v>262</v>
      </c>
      <c r="F32">
        <v>0.6</v>
      </c>
      <c r="G32">
        <v>1.8</v>
      </c>
      <c r="H32">
        <v>0.7</v>
      </c>
      <c r="I32">
        <v>1.9</v>
      </c>
      <c r="J32">
        <v>0.8</v>
      </c>
      <c r="K32">
        <v>2.7</v>
      </c>
      <c r="L32">
        <v>1</v>
      </c>
      <c r="M32">
        <v>3.3</v>
      </c>
      <c r="N32">
        <v>1.2</v>
      </c>
      <c r="O32">
        <v>3.8</v>
      </c>
      <c r="P32">
        <v>1.3</v>
      </c>
      <c r="Q32">
        <v>4.2</v>
      </c>
      <c r="R32">
        <v>1.5</v>
      </c>
      <c r="S32">
        <v>5.2</v>
      </c>
      <c r="T32">
        <v>1.8</v>
      </c>
      <c r="U32">
        <v>6</v>
      </c>
      <c r="V32">
        <v>2.1</v>
      </c>
    </row>
    <row r="33" spans="1:22" x14ac:dyDescent="0.3">
      <c r="A33" t="s">
        <v>263</v>
      </c>
      <c r="B33">
        <v>4.5999999999999996</v>
      </c>
      <c r="C33">
        <v>7.9</v>
      </c>
      <c r="D33">
        <v>4</v>
      </c>
      <c r="E33">
        <v>8.8000000000000007</v>
      </c>
      <c r="F33">
        <v>4.8</v>
      </c>
      <c r="G33">
        <v>9.3000000000000007</v>
      </c>
      <c r="H33">
        <v>3.7</v>
      </c>
      <c r="I33">
        <v>10.7</v>
      </c>
      <c r="J33">
        <v>7</v>
      </c>
      <c r="K33">
        <v>14.8</v>
      </c>
      <c r="L33">
        <v>8.9</v>
      </c>
      <c r="M33">
        <v>18.100000000000001</v>
      </c>
      <c r="N33">
        <v>11</v>
      </c>
      <c r="O33">
        <v>20.100000000000001</v>
      </c>
      <c r="P33">
        <v>3.5</v>
      </c>
      <c r="Q33">
        <v>7</v>
      </c>
      <c r="R33">
        <v>32.700000000000003</v>
      </c>
      <c r="S33">
        <v>48.2</v>
      </c>
      <c r="T33">
        <v>22.8</v>
      </c>
      <c r="U33">
        <v>42.1</v>
      </c>
      <c r="V33">
        <v>14.3</v>
      </c>
    </row>
    <row r="34" spans="1:22" x14ac:dyDescent="0.3">
      <c r="A34" t="s">
        <v>264</v>
      </c>
    </row>
    <row r="35" spans="1:22" x14ac:dyDescent="0.3">
      <c r="A35" t="s">
        <v>265</v>
      </c>
      <c r="B35">
        <v>4.5999999999999996</v>
      </c>
      <c r="C35">
        <v>7.9</v>
      </c>
      <c r="D35">
        <v>4</v>
      </c>
      <c r="E35">
        <v>8.8000000000000007</v>
      </c>
      <c r="F35">
        <v>4.8</v>
      </c>
      <c r="G35">
        <v>9.3000000000000007</v>
      </c>
      <c r="H35">
        <v>3.7</v>
      </c>
      <c r="I35">
        <v>10.7</v>
      </c>
      <c r="J35">
        <v>7</v>
      </c>
      <c r="K35">
        <v>14.8</v>
      </c>
      <c r="L35">
        <v>8.9</v>
      </c>
      <c r="M35">
        <v>18.100000000000001</v>
      </c>
      <c r="N35">
        <v>11</v>
      </c>
      <c r="O35">
        <v>20.100000000000001</v>
      </c>
      <c r="P35">
        <v>3.5</v>
      </c>
      <c r="Q35">
        <v>7</v>
      </c>
      <c r="R35">
        <v>32.700000000000003</v>
      </c>
      <c r="S35">
        <v>48.2</v>
      </c>
      <c r="T35">
        <v>22.8</v>
      </c>
      <c r="U35">
        <v>42.1</v>
      </c>
      <c r="V35">
        <v>14.3</v>
      </c>
    </row>
    <row r="36" spans="1:22" x14ac:dyDescent="0.3">
      <c r="A36" t="s">
        <v>266</v>
      </c>
      <c r="B36">
        <v>4.3</v>
      </c>
      <c r="C36">
        <v>8.1999999999999993</v>
      </c>
      <c r="D36">
        <v>4</v>
      </c>
      <c r="E36">
        <v>8.6</v>
      </c>
      <c r="F36">
        <v>4.8</v>
      </c>
      <c r="G36">
        <v>9.1</v>
      </c>
      <c r="H36">
        <v>3.7</v>
      </c>
      <c r="I36">
        <v>11</v>
      </c>
      <c r="J36">
        <v>7</v>
      </c>
      <c r="K36">
        <v>14.8</v>
      </c>
      <c r="L36">
        <v>8.9</v>
      </c>
      <c r="M36">
        <v>18.100000000000001</v>
      </c>
      <c r="N36">
        <v>11</v>
      </c>
      <c r="O36">
        <v>20</v>
      </c>
      <c r="P36">
        <v>4.3</v>
      </c>
      <c r="Q36">
        <v>7.7</v>
      </c>
      <c r="R36">
        <v>32.700000000000003</v>
      </c>
      <c r="S36">
        <v>48.2</v>
      </c>
      <c r="T36">
        <v>22.8</v>
      </c>
      <c r="U36">
        <v>42.1</v>
      </c>
      <c r="V36">
        <v>14.3</v>
      </c>
    </row>
    <row r="37" spans="1:22" x14ac:dyDescent="0.3">
      <c r="A37" t="s">
        <v>267</v>
      </c>
    </row>
    <row r="38" spans="1:22" x14ac:dyDescent="0.3">
      <c r="A38" t="s">
        <v>138</v>
      </c>
      <c r="B38">
        <v>2.8</v>
      </c>
      <c r="C38">
        <v>5.4</v>
      </c>
      <c r="D38">
        <v>2.9</v>
      </c>
      <c r="E38">
        <v>5.7</v>
      </c>
      <c r="F38">
        <v>3.5</v>
      </c>
      <c r="G38">
        <v>6.4</v>
      </c>
      <c r="H38">
        <v>2.4</v>
      </c>
      <c r="I38">
        <v>7.3</v>
      </c>
      <c r="J38">
        <v>4.5999999999999996</v>
      </c>
      <c r="K38">
        <v>9.5</v>
      </c>
      <c r="L38">
        <v>5.8</v>
      </c>
      <c r="M38">
        <v>11.7</v>
      </c>
      <c r="N38">
        <v>7.2</v>
      </c>
      <c r="O38">
        <v>13</v>
      </c>
      <c r="P38">
        <v>3.3</v>
      </c>
      <c r="Q38">
        <v>7.5</v>
      </c>
      <c r="R38">
        <v>23.6</v>
      </c>
      <c r="S38">
        <v>35</v>
      </c>
      <c r="T38">
        <v>16.5</v>
      </c>
      <c r="U38">
        <v>30.5</v>
      </c>
      <c r="V38">
        <v>10.9</v>
      </c>
    </row>
    <row r="39" spans="1:22" x14ac:dyDescent="0.3">
      <c r="A39" t="s">
        <v>140</v>
      </c>
      <c r="B39">
        <v>2.5</v>
      </c>
      <c r="C39">
        <v>4.7</v>
      </c>
      <c r="D39">
        <v>2.4</v>
      </c>
      <c r="E39">
        <v>4.9000000000000004</v>
      </c>
      <c r="F39">
        <v>2.9</v>
      </c>
      <c r="G39">
        <v>5.4</v>
      </c>
      <c r="H39">
        <v>2.1</v>
      </c>
      <c r="I39">
        <v>6.5</v>
      </c>
      <c r="J39">
        <v>4</v>
      </c>
      <c r="K39">
        <v>8.6</v>
      </c>
      <c r="L39">
        <v>5.0999999999999996</v>
      </c>
      <c r="M39">
        <v>10.5</v>
      </c>
      <c r="N39">
        <v>6.4</v>
      </c>
      <c r="O39">
        <v>11.6</v>
      </c>
      <c r="P39">
        <v>2.5</v>
      </c>
      <c r="Q39">
        <v>4.5</v>
      </c>
      <c r="R39">
        <v>19.3</v>
      </c>
      <c r="S39">
        <v>28.3</v>
      </c>
      <c r="T39">
        <v>13.5</v>
      </c>
      <c r="U39">
        <v>24.8</v>
      </c>
      <c r="V39">
        <v>8.4</v>
      </c>
    </row>
    <row r="40" spans="1:22" x14ac:dyDescent="0.3">
      <c r="A40" t="s">
        <v>38</v>
      </c>
      <c r="B40">
        <v>2.8</v>
      </c>
      <c r="C40">
        <v>5.4</v>
      </c>
      <c r="D40">
        <v>3</v>
      </c>
      <c r="E40">
        <v>5.6</v>
      </c>
      <c r="F40">
        <v>3.5</v>
      </c>
      <c r="G40">
        <v>6.2</v>
      </c>
      <c r="H40">
        <v>3.2</v>
      </c>
      <c r="I40">
        <v>7.4</v>
      </c>
      <c r="J40">
        <v>4.5999999999999996</v>
      </c>
      <c r="K40">
        <v>9.5</v>
      </c>
      <c r="L40">
        <v>6.2</v>
      </c>
      <c r="M40">
        <v>11.9</v>
      </c>
      <c r="N40">
        <v>7.3</v>
      </c>
      <c r="O40">
        <v>12.7</v>
      </c>
      <c r="P40">
        <v>3.7</v>
      </c>
      <c r="Q40">
        <v>8.9</v>
      </c>
      <c r="R40">
        <v>24.2</v>
      </c>
      <c r="S40">
        <v>35.799999999999997</v>
      </c>
      <c r="T40">
        <v>16.600000000000001</v>
      </c>
      <c r="U40">
        <v>28.7</v>
      </c>
      <c r="V40">
        <v>12.2</v>
      </c>
    </row>
    <row r="41" spans="1:22" x14ac:dyDescent="0.3">
      <c r="A41" t="s">
        <v>36</v>
      </c>
      <c r="B41">
        <v>4.2</v>
      </c>
      <c r="C41">
        <v>7.1</v>
      </c>
      <c r="D41">
        <v>3.9</v>
      </c>
      <c r="E41">
        <v>7.5</v>
      </c>
      <c r="F41">
        <v>4.5</v>
      </c>
      <c r="G41">
        <v>8.5</v>
      </c>
      <c r="H41">
        <v>4.3</v>
      </c>
      <c r="I41">
        <v>9.9</v>
      </c>
      <c r="J41">
        <v>6.2</v>
      </c>
      <c r="K41">
        <v>13.1</v>
      </c>
      <c r="L41">
        <v>8</v>
      </c>
      <c r="M41">
        <v>15.5</v>
      </c>
      <c r="N41">
        <v>9</v>
      </c>
      <c r="O41">
        <v>16.399999999999999</v>
      </c>
      <c r="P41">
        <v>7.6</v>
      </c>
      <c r="Q41">
        <v>17.399999999999999</v>
      </c>
      <c r="R41">
        <v>29</v>
      </c>
      <c r="S41">
        <v>45.9</v>
      </c>
      <c r="T41">
        <v>22</v>
      </c>
      <c r="U41">
        <v>40.799999999999997</v>
      </c>
      <c r="V41">
        <v>17.600000000000001</v>
      </c>
    </row>
    <row r="42" spans="1:22" x14ac:dyDescent="0.3">
      <c r="A42" t="s">
        <v>268</v>
      </c>
    </row>
    <row r="43" spans="1:22" x14ac:dyDescent="0.3">
      <c r="A43" t="s">
        <v>47</v>
      </c>
      <c r="D43">
        <v>3</v>
      </c>
      <c r="E43">
        <v>6.4</v>
      </c>
      <c r="F43">
        <v>3.7</v>
      </c>
      <c r="G43">
        <v>7</v>
      </c>
      <c r="H43">
        <v>3.7</v>
      </c>
      <c r="I43">
        <v>7.7</v>
      </c>
      <c r="K43">
        <v>9.5</v>
      </c>
      <c r="M43">
        <v>11.6</v>
      </c>
      <c r="N43">
        <v>7.3</v>
      </c>
      <c r="O43">
        <v>13.5</v>
      </c>
      <c r="P43">
        <v>6.4</v>
      </c>
      <c r="Q43">
        <v>23</v>
      </c>
      <c r="R43">
        <v>26.3</v>
      </c>
      <c r="S43">
        <v>41.4</v>
      </c>
      <c r="T43">
        <v>19.100000000000001</v>
      </c>
      <c r="U43">
        <v>34.700000000000003</v>
      </c>
      <c r="V43">
        <v>14.2</v>
      </c>
    </row>
    <row r="44" spans="1:22" x14ac:dyDescent="0.3">
      <c r="A44" t="s">
        <v>140</v>
      </c>
      <c r="D44">
        <v>2.4</v>
      </c>
      <c r="E44">
        <v>5.8</v>
      </c>
      <c r="F44">
        <v>3.6</v>
      </c>
      <c r="G44">
        <v>6.2</v>
      </c>
      <c r="H44">
        <v>2.7</v>
      </c>
      <c r="I44">
        <v>6.7</v>
      </c>
      <c r="K44">
        <v>8.6</v>
      </c>
      <c r="L44">
        <v>5.0999999999999996</v>
      </c>
      <c r="M44">
        <v>10.199999999999999</v>
      </c>
      <c r="N44">
        <v>6.4</v>
      </c>
      <c r="O44">
        <v>12.4</v>
      </c>
      <c r="P44">
        <v>5.4</v>
      </c>
      <c r="Q44">
        <v>19.2</v>
      </c>
      <c r="R44">
        <v>21.4</v>
      </c>
      <c r="S44">
        <v>33.799999999999997</v>
      </c>
      <c r="T44">
        <v>15.4</v>
      </c>
      <c r="U44">
        <v>30.6</v>
      </c>
      <c r="V44">
        <v>10.6</v>
      </c>
    </row>
    <row r="45" spans="1:22" x14ac:dyDescent="0.3">
      <c r="A45" t="s">
        <v>38</v>
      </c>
    </row>
    <row r="46" spans="1:22" x14ac:dyDescent="0.3">
      <c r="A46" t="s">
        <v>36</v>
      </c>
      <c r="B46">
        <v>4</v>
      </c>
      <c r="C46">
        <v>7.2</v>
      </c>
      <c r="D46">
        <v>3.9</v>
      </c>
      <c r="E46">
        <v>8.1999999999999993</v>
      </c>
      <c r="F46">
        <v>4.7</v>
      </c>
      <c r="G46">
        <v>9.3000000000000007</v>
      </c>
      <c r="H46">
        <v>4.8</v>
      </c>
      <c r="I46">
        <v>10.199999999999999</v>
      </c>
      <c r="J46">
        <v>6.1</v>
      </c>
      <c r="K46">
        <v>13.1</v>
      </c>
      <c r="L46">
        <v>8</v>
      </c>
      <c r="M46">
        <v>15.5</v>
      </c>
      <c r="N46">
        <v>8.9</v>
      </c>
      <c r="O46">
        <v>17.2</v>
      </c>
      <c r="P46">
        <v>9.1</v>
      </c>
      <c r="Q46">
        <v>28.6</v>
      </c>
      <c r="R46">
        <v>29.2</v>
      </c>
      <c r="S46">
        <v>47.5</v>
      </c>
      <c r="T46">
        <v>22.2</v>
      </c>
      <c r="U46">
        <v>41.7</v>
      </c>
      <c r="V46">
        <v>18.100000000000001</v>
      </c>
    </row>
    <row r="47" spans="1:22" x14ac:dyDescent="0.3">
      <c r="A47" t="s">
        <v>269</v>
      </c>
      <c r="D47">
        <v>5</v>
      </c>
      <c r="E47">
        <v>11.7</v>
      </c>
      <c r="F47">
        <v>6.8</v>
      </c>
      <c r="G47">
        <v>11.8</v>
      </c>
      <c r="H47">
        <v>5.0999999999999996</v>
      </c>
      <c r="I47">
        <v>12.6</v>
      </c>
      <c r="K47">
        <v>15.4</v>
      </c>
      <c r="L47">
        <v>9</v>
      </c>
      <c r="M47">
        <v>18</v>
      </c>
      <c r="N47">
        <v>11.1</v>
      </c>
      <c r="O47">
        <v>21.7</v>
      </c>
      <c r="P47">
        <v>9.4</v>
      </c>
      <c r="Q47">
        <v>33.200000000000003</v>
      </c>
      <c r="R47">
        <v>36.9</v>
      </c>
      <c r="S47">
        <v>58.2</v>
      </c>
      <c r="T47">
        <v>26.5</v>
      </c>
      <c r="U47">
        <v>52.5</v>
      </c>
      <c r="V47">
        <v>18.2</v>
      </c>
    </row>
    <row r="48" spans="1:22" x14ac:dyDescent="0.3">
      <c r="A48" t="s">
        <v>270</v>
      </c>
      <c r="D48">
        <v>4</v>
      </c>
      <c r="E48">
        <v>10.1</v>
      </c>
      <c r="F48">
        <v>6</v>
      </c>
      <c r="G48">
        <v>10.5</v>
      </c>
      <c r="H48">
        <v>4.5999999999999996</v>
      </c>
      <c r="I48">
        <v>11.4</v>
      </c>
      <c r="K48">
        <v>14.8</v>
      </c>
      <c r="L48">
        <v>8.9</v>
      </c>
      <c r="M48">
        <v>17.600000000000001</v>
      </c>
      <c r="N48">
        <v>11</v>
      </c>
      <c r="O48">
        <v>21.4</v>
      </c>
      <c r="P48">
        <v>9.3000000000000007</v>
      </c>
      <c r="Q48">
        <v>32.799999999999997</v>
      </c>
      <c r="R48">
        <v>36.299999999999997</v>
      </c>
      <c r="S48">
        <v>57.5</v>
      </c>
      <c r="T48">
        <v>26.2</v>
      </c>
      <c r="U48">
        <v>52</v>
      </c>
      <c r="V48">
        <v>18</v>
      </c>
    </row>
    <row r="49" spans="1:22" x14ac:dyDescent="0.3">
      <c r="A49" t="s">
        <v>242</v>
      </c>
    </row>
    <row r="50" spans="1:22" x14ac:dyDescent="0.3">
      <c r="A50" t="s">
        <v>271</v>
      </c>
      <c r="B50">
        <v>58.1</v>
      </c>
      <c r="C50">
        <v>58.1</v>
      </c>
      <c r="E50">
        <v>58.1</v>
      </c>
      <c r="F50">
        <v>58.1</v>
      </c>
      <c r="G50">
        <v>58.1</v>
      </c>
      <c r="H50">
        <v>58.1</v>
      </c>
      <c r="I50">
        <v>58.1</v>
      </c>
      <c r="J50">
        <v>58.1</v>
      </c>
      <c r="K50">
        <v>58.1</v>
      </c>
      <c r="L50">
        <v>58.1</v>
      </c>
      <c r="M50">
        <v>58.1</v>
      </c>
      <c r="N50">
        <v>58.1</v>
      </c>
      <c r="O50">
        <v>58.1</v>
      </c>
      <c r="P50">
        <v>58.1</v>
      </c>
      <c r="Q50">
        <v>58.1</v>
      </c>
      <c r="R50">
        <v>58.7</v>
      </c>
      <c r="S50">
        <v>58.7</v>
      </c>
      <c r="T50">
        <v>58.7</v>
      </c>
      <c r="U50">
        <v>58.7</v>
      </c>
      <c r="V50">
        <v>59.2</v>
      </c>
    </row>
    <row r="51" spans="1:22" x14ac:dyDescent="0.3">
      <c r="A51" t="s">
        <v>272</v>
      </c>
      <c r="B51">
        <v>58.1</v>
      </c>
      <c r="C51">
        <v>58.1</v>
      </c>
      <c r="D51">
        <v>48.8</v>
      </c>
      <c r="E51">
        <v>49.2</v>
      </c>
      <c r="F51">
        <v>52.4</v>
      </c>
      <c r="G51">
        <v>52.4</v>
      </c>
      <c r="H51">
        <v>52.9</v>
      </c>
      <c r="I51">
        <v>53.2</v>
      </c>
      <c r="J51">
        <v>55.3</v>
      </c>
      <c r="K51">
        <v>55.4</v>
      </c>
      <c r="L51">
        <v>56.7</v>
      </c>
      <c r="M51">
        <v>56.8</v>
      </c>
      <c r="N51">
        <v>57.2</v>
      </c>
      <c r="O51">
        <v>57.2</v>
      </c>
      <c r="P51">
        <v>57.5</v>
      </c>
      <c r="Q51">
        <v>57.7</v>
      </c>
      <c r="R51">
        <v>58.1</v>
      </c>
      <c r="S51">
        <v>58</v>
      </c>
      <c r="T51">
        <v>58.2</v>
      </c>
      <c r="U51">
        <v>58.3</v>
      </c>
      <c r="V51">
        <v>58.5</v>
      </c>
    </row>
    <row r="52" spans="1:22" x14ac:dyDescent="0.3">
      <c r="A52" t="s">
        <v>273</v>
      </c>
      <c r="B52">
        <v>58.1</v>
      </c>
      <c r="C52">
        <v>58.1</v>
      </c>
      <c r="D52">
        <v>60.6</v>
      </c>
      <c r="E52">
        <v>58.1</v>
      </c>
      <c r="F52">
        <v>59.8</v>
      </c>
      <c r="G52">
        <v>58.8</v>
      </c>
      <c r="H52">
        <v>58.6</v>
      </c>
      <c r="I52">
        <v>58.5</v>
      </c>
      <c r="J52">
        <v>57.7</v>
      </c>
      <c r="K52">
        <v>57.8</v>
      </c>
      <c r="L52">
        <v>57.8</v>
      </c>
      <c r="M52">
        <v>58</v>
      </c>
      <c r="N52">
        <v>58.1</v>
      </c>
      <c r="O52">
        <v>58</v>
      </c>
      <c r="P52">
        <v>58.3</v>
      </c>
      <c r="Q52">
        <v>58.5</v>
      </c>
      <c r="R52">
        <v>59</v>
      </c>
      <c r="S52">
        <v>58.7</v>
      </c>
      <c r="T52">
        <v>58.9</v>
      </c>
      <c r="U52">
        <v>58.9</v>
      </c>
      <c r="V52">
        <v>58.9</v>
      </c>
    </row>
    <row r="53" spans="1:22" x14ac:dyDescent="0.3">
      <c r="A53" t="s">
        <v>274</v>
      </c>
    </row>
    <row r="54" spans="1:22" x14ac:dyDescent="0.3">
      <c r="A54" t="s">
        <v>275</v>
      </c>
      <c r="B54">
        <v>0.1</v>
      </c>
      <c r="C54">
        <v>0.1</v>
      </c>
      <c r="E54">
        <v>0.1</v>
      </c>
      <c r="G54">
        <v>0.2</v>
      </c>
      <c r="I54">
        <v>0.2</v>
      </c>
      <c r="K54">
        <v>0.3</v>
      </c>
      <c r="M54">
        <v>0.4</v>
      </c>
      <c r="O54">
        <v>0.5</v>
      </c>
    </row>
    <row r="55" spans="1:22" x14ac:dyDescent="0.3">
      <c r="A55" t="s">
        <v>276</v>
      </c>
      <c r="C55">
        <v>0</v>
      </c>
      <c r="D55">
        <v>0</v>
      </c>
      <c r="E55">
        <v>0</v>
      </c>
      <c r="F55">
        <v>0.1</v>
      </c>
      <c r="G55">
        <v>0.1</v>
      </c>
      <c r="H55">
        <v>0.1</v>
      </c>
      <c r="I55">
        <v>0.1</v>
      </c>
      <c r="J55">
        <v>0.1</v>
      </c>
      <c r="K55">
        <v>0.1</v>
      </c>
      <c r="L55">
        <v>0.1</v>
      </c>
      <c r="M55">
        <v>0.2</v>
      </c>
      <c r="N55">
        <v>0.2</v>
      </c>
      <c r="O55">
        <v>0.3</v>
      </c>
      <c r="P55">
        <v>0.2</v>
      </c>
      <c r="Q55">
        <v>0.5</v>
      </c>
      <c r="R55">
        <v>0.4</v>
      </c>
      <c r="S55">
        <v>1</v>
      </c>
      <c r="T55">
        <v>0.5</v>
      </c>
      <c r="U55">
        <v>1.3</v>
      </c>
      <c r="V55">
        <v>-0.3</v>
      </c>
    </row>
    <row r="56" spans="1:22" x14ac:dyDescent="0.3">
      <c r="A56" t="s">
        <v>161</v>
      </c>
      <c r="B56">
        <v>-1.8</v>
      </c>
      <c r="C56">
        <v>-2.1</v>
      </c>
      <c r="D56">
        <v>-1</v>
      </c>
      <c r="E56">
        <v>-2.7</v>
      </c>
      <c r="F56">
        <v>-1.8</v>
      </c>
      <c r="G56">
        <v>-3.6</v>
      </c>
      <c r="H56">
        <v>-1.7</v>
      </c>
      <c r="I56">
        <v>-3.7</v>
      </c>
      <c r="J56">
        <v>-1.9</v>
      </c>
      <c r="K56">
        <v>-3.6</v>
      </c>
      <c r="L56">
        <v>-2</v>
      </c>
      <c r="M56">
        <v>-4.5</v>
      </c>
      <c r="N56">
        <v>-2.2999999999999998</v>
      </c>
      <c r="O56">
        <v>-5</v>
      </c>
      <c r="P56">
        <v>-5.9</v>
      </c>
      <c r="Q56">
        <v>-9.6</v>
      </c>
      <c r="R56">
        <v>-3.7</v>
      </c>
      <c r="S56">
        <v>-6.6</v>
      </c>
      <c r="T56">
        <v>-5.4</v>
      </c>
      <c r="U56">
        <v>-12.5</v>
      </c>
      <c r="V56">
        <v>-6.5</v>
      </c>
    </row>
    <row r="57" spans="1:22" x14ac:dyDescent="0.3">
      <c r="A57" t="s">
        <v>277</v>
      </c>
      <c r="B57">
        <v>89</v>
      </c>
      <c r="C57">
        <v>107</v>
      </c>
      <c r="E57">
        <v>130</v>
      </c>
      <c r="G57">
        <v>152</v>
      </c>
      <c r="H57">
        <v>160</v>
      </c>
      <c r="I57">
        <v>162</v>
      </c>
      <c r="J57">
        <v>170</v>
      </c>
      <c r="K57">
        <v>179</v>
      </c>
      <c r="M57">
        <v>206</v>
      </c>
      <c r="N57">
        <v>230</v>
      </c>
      <c r="O57">
        <v>281</v>
      </c>
      <c r="Q57">
        <v>400</v>
      </c>
      <c r="S57">
        <v>445</v>
      </c>
      <c r="U57">
        <v>521</v>
      </c>
    </row>
    <row r="58" spans="1:22" x14ac:dyDescent="0.3">
      <c r="A58" t="s">
        <v>278</v>
      </c>
      <c r="B58">
        <v>10.1</v>
      </c>
      <c r="C58">
        <v>12.2</v>
      </c>
      <c r="D58">
        <v>14.7</v>
      </c>
      <c r="E58">
        <v>13.1</v>
      </c>
      <c r="F58">
        <v>17.8</v>
      </c>
      <c r="G58">
        <v>15.8</v>
      </c>
      <c r="H58">
        <v>12</v>
      </c>
      <c r="I58">
        <v>12.2</v>
      </c>
      <c r="J58">
        <v>12</v>
      </c>
      <c r="K58">
        <v>10.1</v>
      </c>
      <c r="L58">
        <v>12.2</v>
      </c>
      <c r="M58">
        <v>10.3</v>
      </c>
      <c r="N58">
        <v>11</v>
      </c>
      <c r="O58">
        <v>10.4</v>
      </c>
      <c r="P58">
        <v>23.8</v>
      </c>
      <c r="Q58">
        <v>41.8</v>
      </c>
      <c r="R58">
        <v>18.2</v>
      </c>
      <c r="S58">
        <v>19.3</v>
      </c>
      <c r="T58">
        <v>18.600000000000001</v>
      </c>
      <c r="U58">
        <v>18.899999999999999</v>
      </c>
      <c r="V58">
        <v>22.4</v>
      </c>
    </row>
    <row r="59" spans="1:22" x14ac:dyDescent="0.3">
      <c r="A59" t="s">
        <v>279</v>
      </c>
      <c r="G59">
        <v>89.1</v>
      </c>
      <c r="I59">
        <v>95.8</v>
      </c>
      <c r="K59">
        <v>178.6</v>
      </c>
      <c r="M59">
        <v>292.89999999999998</v>
      </c>
      <c r="O59">
        <v>267.3</v>
      </c>
      <c r="Q59">
        <v>447.5</v>
      </c>
      <c r="S59">
        <v>1023.7</v>
      </c>
      <c r="U59">
        <v>272.39999999999998</v>
      </c>
    </row>
    <row r="60" spans="1:22" x14ac:dyDescent="0.3">
      <c r="A60" t="s">
        <v>280</v>
      </c>
      <c r="G60">
        <v>83</v>
      </c>
      <c r="I60">
        <v>90.2</v>
      </c>
      <c r="K60">
        <v>164.4</v>
      </c>
      <c r="M60">
        <v>270.10000000000002</v>
      </c>
      <c r="O60">
        <v>252.4</v>
      </c>
      <c r="Q60">
        <v>446</v>
      </c>
      <c r="S60">
        <v>1007.4</v>
      </c>
      <c r="U60">
        <v>283.2</v>
      </c>
    </row>
  </sheetData>
  <sheetProtection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7778-2D5D-4FF3-9084-B0EC55CF7892}">
  <sheetPr>
    <tabColor theme="6" tint="0.59999389629810485"/>
  </sheetPr>
  <dimension ref="A2:X67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4.4" x14ac:dyDescent="0.3"/>
  <cols>
    <col min="1" max="1" width="23.6640625" bestFit="1" customWidth="1"/>
    <col min="2" max="24" width="11.109375" bestFit="1" customWidth="1"/>
  </cols>
  <sheetData>
    <row r="2" spans="1:24" x14ac:dyDescent="0.3">
      <c r="A2" t="s">
        <v>136</v>
      </c>
      <c r="B2">
        <v>2012</v>
      </c>
      <c r="C2">
        <v>2013</v>
      </c>
      <c r="D2">
        <v>2014</v>
      </c>
      <c r="E2">
        <v>2014</v>
      </c>
      <c r="F2">
        <v>2015</v>
      </c>
      <c r="G2">
        <v>2015</v>
      </c>
      <c r="H2">
        <v>2016</v>
      </c>
      <c r="I2">
        <v>2016</v>
      </c>
      <c r="J2">
        <v>2017</v>
      </c>
      <c r="K2">
        <v>2017</v>
      </c>
      <c r="L2">
        <v>2018</v>
      </c>
      <c r="M2">
        <v>2018</v>
      </c>
      <c r="N2">
        <v>2019</v>
      </c>
      <c r="O2">
        <v>2019</v>
      </c>
      <c r="P2">
        <v>2020</v>
      </c>
      <c r="Q2">
        <v>2020</v>
      </c>
      <c r="R2">
        <v>2021</v>
      </c>
      <c r="S2">
        <v>2021</v>
      </c>
      <c r="T2">
        <v>2022</v>
      </c>
      <c r="U2">
        <v>2022</v>
      </c>
      <c r="V2">
        <v>2023</v>
      </c>
    </row>
    <row r="3" spans="1:24" x14ac:dyDescent="0.3">
      <c r="A3" t="s">
        <v>146</v>
      </c>
      <c r="B3" s="67">
        <v>41152</v>
      </c>
      <c r="C3" s="67">
        <v>41517</v>
      </c>
      <c r="D3" s="67">
        <v>41698</v>
      </c>
      <c r="E3" s="67">
        <v>41882</v>
      </c>
      <c r="F3" s="67">
        <v>42063</v>
      </c>
      <c r="G3" s="67">
        <v>42247</v>
      </c>
      <c r="H3" s="67">
        <v>42429</v>
      </c>
      <c r="I3" s="67">
        <v>42613</v>
      </c>
      <c r="J3" s="67">
        <v>42794</v>
      </c>
      <c r="K3" s="67">
        <v>42978</v>
      </c>
      <c r="L3" s="67">
        <v>43159</v>
      </c>
      <c r="M3" s="67">
        <v>43343</v>
      </c>
      <c r="N3" s="67">
        <v>43524</v>
      </c>
      <c r="O3" s="67">
        <v>43708</v>
      </c>
      <c r="P3" s="67">
        <v>43890</v>
      </c>
      <c r="Q3" s="67">
        <v>44074</v>
      </c>
      <c r="R3" s="67">
        <v>44255</v>
      </c>
      <c r="S3" s="67">
        <v>44439</v>
      </c>
      <c r="T3" s="67">
        <v>44620</v>
      </c>
      <c r="U3" s="67">
        <v>44804</v>
      </c>
      <c r="V3" s="67">
        <v>44985</v>
      </c>
      <c r="W3" s="67"/>
      <c r="X3" s="67"/>
    </row>
    <row r="4" spans="1:24" x14ac:dyDescent="0.3">
      <c r="A4" t="s">
        <v>147</v>
      </c>
      <c r="B4" t="s">
        <v>286</v>
      </c>
      <c r="C4" t="s">
        <v>286</v>
      </c>
      <c r="D4" t="s">
        <v>309</v>
      </c>
      <c r="E4" t="s">
        <v>286</v>
      </c>
      <c r="F4" t="s">
        <v>309</v>
      </c>
      <c r="G4" t="s">
        <v>286</v>
      </c>
      <c r="H4" t="s">
        <v>309</v>
      </c>
      <c r="I4" t="s">
        <v>286</v>
      </c>
      <c r="J4" t="s">
        <v>309</v>
      </c>
      <c r="K4" t="s">
        <v>286</v>
      </c>
      <c r="L4" t="s">
        <v>309</v>
      </c>
      <c r="M4" t="s">
        <v>286</v>
      </c>
      <c r="N4" t="s">
        <v>309</v>
      </c>
      <c r="O4" t="s">
        <v>286</v>
      </c>
      <c r="P4" t="s">
        <v>309</v>
      </c>
      <c r="Q4" t="s">
        <v>286</v>
      </c>
      <c r="R4" t="s">
        <v>309</v>
      </c>
      <c r="S4" t="s">
        <v>286</v>
      </c>
      <c r="T4" t="s">
        <v>309</v>
      </c>
      <c r="U4" t="s">
        <v>286</v>
      </c>
      <c r="V4" t="s">
        <v>309</v>
      </c>
    </row>
    <row r="5" spans="1:24" x14ac:dyDescent="0.3">
      <c r="A5" t="s">
        <v>148</v>
      </c>
    </row>
    <row r="6" spans="1:24" x14ac:dyDescent="0.3">
      <c r="A6" t="s">
        <v>196</v>
      </c>
    </row>
    <row r="7" spans="1:24" x14ac:dyDescent="0.3">
      <c r="A7" t="s">
        <v>197</v>
      </c>
      <c r="B7">
        <v>4.4000000000000004</v>
      </c>
      <c r="C7">
        <v>6.3</v>
      </c>
      <c r="E7">
        <v>6</v>
      </c>
      <c r="F7">
        <v>6.5</v>
      </c>
      <c r="G7">
        <v>6.5</v>
      </c>
      <c r="H7">
        <v>9.8000000000000007</v>
      </c>
      <c r="I7">
        <v>9.6</v>
      </c>
      <c r="J7">
        <v>10.199999999999999</v>
      </c>
      <c r="K7">
        <v>11.2</v>
      </c>
      <c r="L7">
        <v>10.8</v>
      </c>
      <c r="M7">
        <v>10.6</v>
      </c>
      <c r="N7">
        <v>12.3</v>
      </c>
      <c r="O7">
        <v>13.8</v>
      </c>
      <c r="P7">
        <v>18.399999999999999</v>
      </c>
      <c r="Q7">
        <v>15.4</v>
      </c>
      <c r="R7">
        <v>17.3</v>
      </c>
      <c r="S7">
        <v>11.8</v>
      </c>
      <c r="T7">
        <v>22.4</v>
      </c>
      <c r="U7">
        <v>26.9</v>
      </c>
      <c r="V7">
        <v>27.5</v>
      </c>
    </row>
    <row r="8" spans="1:24" x14ac:dyDescent="0.3">
      <c r="A8" t="s">
        <v>198</v>
      </c>
      <c r="B8">
        <v>0</v>
      </c>
      <c r="C8">
        <v>1.1000000000000001</v>
      </c>
      <c r="E8">
        <v>0</v>
      </c>
      <c r="G8">
        <v>1.1000000000000001</v>
      </c>
      <c r="I8">
        <v>1.4</v>
      </c>
      <c r="K8">
        <v>1.1000000000000001</v>
      </c>
      <c r="M8">
        <v>1.2</v>
      </c>
      <c r="O8">
        <v>3.6</v>
      </c>
      <c r="Q8">
        <v>0.4</v>
      </c>
      <c r="S8">
        <v>1</v>
      </c>
      <c r="U8">
        <v>0.1</v>
      </c>
    </row>
    <row r="9" spans="1:24" x14ac:dyDescent="0.3">
      <c r="A9" t="s">
        <v>199</v>
      </c>
      <c r="B9">
        <v>0.1</v>
      </c>
      <c r="C9">
        <v>0.3</v>
      </c>
      <c r="E9">
        <v>0.3</v>
      </c>
      <c r="G9">
        <v>0.2</v>
      </c>
      <c r="I9">
        <v>0.2</v>
      </c>
      <c r="K9">
        <v>0.6</v>
      </c>
      <c r="M9">
        <v>1.5</v>
      </c>
      <c r="O9">
        <v>0.8</v>
      </c>
      <c r="Q9">
        <v>1</v>
      </c>
      <c r="S9">
        <v>1.5</v>
      </c>
      <c r="U9">
        <v>1.3</v>
      </c>
    </row>
    <row r="10" spans="1:24" x14ac:dyDescent="0.3">
      <c r="A10" t="s">
        <v>200</v>
      </c>
      <c r="B10">
        <v>4.5999999999999996</v>
      </c>
      <c r="C10">
        <v>7.7</v>
      </c>
      <c r="E10">
        <v>6.4</v>
      </c>
      <c r="F10">
        <v>6.5</v>
      </c>
      <c r="G10">
        <v>7.7</v>
      </c>
      <c r="H10">
        <v>9.8000000000000007</v>
      </c>
      <c r="I10">
        <v>11.2</v>
      </c>
      <c r="J10">
        <v>10.199999999999999</v>
      </c>
      <c r="K10">
        <v>13</v>
      </c>
      <c r="L10">
        <v>10.8</v>
      </c>
      <c r="M10">
        <v>13.3</v>
      </c>
      <c r="N10">
        <v>12.3</v>
      </c>
      <c r="O10">
        <v>18.2</v>
      </c>
      <c r="P10">
        <v>18.399999999999999</v>
      </c>
      <c r="Q10">
        <v>16.7</v>
      </c>
      <c r="R10">
        <v>17.3</v>
      </c>
      <c r="S10">
        <v>14.3</v>
      </c>
      <c r="T10">
        <v>22.4</v>
      </c>
      <c r="U10">
        <v>28.3</v>
      </c>
      <c r="V10">
        <v>27.5</v>
      </c>
    </row>
    <row r="11" spans="1:24" x14ac:dyDescent="0.3">
      <c r="A11" t="s">
        <v>201</v>
      </c>
    </row>
    <row r="12" spans="1:24" x14ac:dyDescent="0.3">
      <c r="A12" t="s">
        <v>202</v>
      </c>
      <c r="Q12">
        <v>1</v>
      </c>
      <c r="S12">
        <v>1.4</v>
      </c>
      <c r="T12">
        <v>0.7</v>
      </c>
      <c r="U12">
        <v>0.6</v>
      </c>
    </row>
    <row r="13" spans="1:24" x14ac:dyDescent="0.3">
      <c r="A13" t="s">
        <v>203</v>
      </c>
      <c r="B13">
        <v>3.6</v>
      </c>
      <c r="C13">
        <v>6.9</v>
      </c>
      <c r="E13">
        <v>6.6</v>
      </c>
      <c r="F13">
        <v>7.8</v>
      </c>
      <c r="G13">
        <v>8.6</v>
      </c>
      <c r="H13">
        <v>10.7</v>
      </c>
      <c r="I13">
        <v>11.4</v>
      </c>
      <c r="J13">
        <v>10.1</v>
      </c>
      <c r="K13">
        <v>8.3000000000000007</v>
      </c>
      <c r="L13">
        <v>10.9</v>
      </c>
      <c r="M13">
        <v>11.4</v>
      </c>
      <c r="N13">
        <v>12.3</v>
      </c>
      <c r="O13">
        <v>15.2</v>
      </c>
      <c r="P13">
        <v>18.600000000000001</v>
      </c>
      <c r="Q13">
        <v>19.399999999999999</v>
      </c>
      <c r="R13">
        <v>15.9</v>
      </c>
      <c r="S13">
        <v>20.7</v>
      </c>
      <c r="T13">
        <v>25.7</v>
      </c>
      <c r="U13">
        <v>48.3</v>
      </c>
      <c r="V13">
        <v>50.7</v>
      </c>
    </row>
    <row r="14" spans="1:24" x14ac:dyDescent="0.3">
      <c r="A14" t="s">
        <v>204</v>
      </c>
    </row>
    <row r="15" spans="1:24" x14ac:dyDescent="0.3">
      <c r="A15" t="s">
        <v>205</v>
      </c>
      <c r="B15">
        <v>2.2999999999999998</v>
      </c>
      <c r="C15">
        <v>1.6</v>
      </c>
      <c r="E15">
        <v>3.8</v>
      </c>
      <c r="F15">
        <v>4.7</v>
      </c>
      <c r="G15">
        <v>6.2</v>
      </c>
      <c r="H15">
        <v>4</v>
      </c>
      <c r="I15">
        <v>5.6</v>
      </c>
      <c r="J15">
        <v>9.4</v>
      </c>
      <c r="K15">
        <v>14.2</v>
      </c>
      <c r="L15">
        <v>19.7</v>
      </c>
      <c r="M15">
        <v>22.8</v>
      </c>
      <c r="N15">
        <v>26.2</v>
      </c>
      <c r="O15">
        <v>15.5</v>
      </c>
      <c r="P15">
        <v>12.8</v>
      </c>
      <c r="Q15">
        <v>15</v>
      </c>
      <c r="R15">
        <v>18.8</v>
      </c>
      <c r="S15">
        <v>17.3</v>
      </c>
      <c r="T15">
        <v>17.8</v>
      </c>
      <c r="U15">
        <v>12.8</v>
      </c>
      <c r="V15">
        <v>13.5</v>
      </c>
    </row>
    <row r="16" spans="1:24" x14ac:dyDescent="0.3">
      <c r="A16" t="s">
        <v>206</v>
      </c>
      <c r="B16">
        <v>0.2</v>
      </c>
      <c r="E16">
        <v>0.1</v>
      </c>
      <c r="F16">
        <v>0.6</v>
      </c>
      <c r="G16">
        <v>0.2</v>
      </c>
      <c r="H16">
        <v>0</v>
      </c>
      <c r="I16">
        <v>0</v>
      </c>
      <c r="J16">
        <v>0</v>
      </c>
      <c r="L16">
        <v>0.3</v>
      </c>
      <c r="M16">
        <v>0.1</v>
      </c>
      <c r="N16">
        <v>0.8</v>
      </c>
      <c r="P16">
        <v>0.9</v>
      </c>
      <c r="Q16">
        <v>0.3</v>
      </c>
      <c r="R16">
        <v>0.8</v>
      </c>
      <c r="S16">
        <v>0.7</v>
      </c>
      <c r="T16">
        <v>0.6</v>
      </c>
    </row>
    <row r="17" spans="1:22" x14ac:dyDescent="0.3">
      <c r="A17" t="s">
        <v>207</v>
      </c>
      <c r="B17">
        <v>10.6</v>
      </c>
      <c r="C17">
        <v>16.2</v>
      </c>
      <c r="E17">
        <v>16.899999999999999</v>
      </c>
      <c r="F17">
        <v>19.600000000000001</v>
      </c>
      <c r="G17">
        <v>22.8</v>
      </c>
      <c r="H17">
        <v>24.5</v>
      </c>
      <c r="I17">
        <v>28.2</v>
      </c>
      <c r="J17">
        <v>29.8</v>
      </c>
      <c r="K17">
        <v>35.5</v>
      </c>
      <c r="L17">
        <v>41.7</v>
      </c>
      <c r="M17">
        <v>47.6</v>
      </c>
      <c r="N17">
        <v>51.6</v>
      </c>
      <c r="O17">
        <v>48.9</v>
      </c>
      <c r="P17">
        <v>50.7</v>
      </c>
      <c r="Q17">
        <v>52.4</v>
      </c>
      <c r="R17">
        <v>52.9</v>
      </c>
      <c r="S17">
        <v>54.4</v>
      </c>
      <c r="T17">
        <v>67.2</v>
      </c>
      <c r="U17">
        <v>90</v>
      </c>
      <c r="V17">
        <v>91.7</v>
      </c>
    </row>
    <row r="18" spans="1:22" x14ac:dyDescent="0.3">
      <c r="A18" t="s">
        <v>208</v>
      </c>
      <c r="B18">
        <v>0.4</v>
      </c>
      <c r="C18">
        <v>0.4</v>
      </c>
      <c r="E18">
        <v>0.4</v>
      </c>
      <c r="F18">
        <v>0.4</v>
      </c>
      <c r="G18">
        <v>0.4</v>
      </c>
      <c r="H18">
        <v>0.4</v>
      </c>
      <c r="I18">
        <v>0.4</v>
      </c>
      <c r="J18">
        <v>0.4</v>
      </c>
      <c r="K18">
        <v>0.4</v>
      </c>
      <c r="L18">
        <v>0.4</v>
      </c>
      <c r="M18">
        <v>0.4</v>
      </c>
      <c r="N18">
        <v>0.4</v>
      </c>
      <c r="O18">
        <v>5.3</v>
      </c>
      <c r="P18">
        <v>17.600000000000001</v>
      </c>
      <c r="Q18">
        <v>7.9</v>
      </c>
      <c r="R18">
        <v>7.9</v>
      </c>
      <c r="S18">
        <v>10.1</v>
      </c>
      <c r="T18">
        <v>9.6999999999999993</v>
      </c>
      <c r="U18">
        <v>13.7</v>
      </c>
      <c r="V18">
        <v>16.399999999999999</v>
      </c>
    </row>
    <row r="19" spans="1:22" x14ac:dyDescent="0.3">
      <c r="A19" t="s">
        <v>209</v>
      </c>
      <c r="B19">
        <v>1.8</v>
      </c>
      <c r="C19">
        <v>2.2000000000000002</v>
      </c>
      <c r="E19">
        <v>2.6</v>
      </c>
      <c r="F19">
        <v>3.2</v>
      </c>
      <c r="G19">
        <v>3.5</v>
      </c>
      <c r="H19">
        <v>4</v>
      </c>
      <c r="I19">
        <v>4.4000000000000004</v>
      </c>
      <c r="J19">
        <v>4.8</v>
      </c>
      <c r="K19">
        <v>4.5</v>
      </c>
      <c r="L19">
        <v>4.8</v>
      </c>
      <c r="M19">
        <v>5.6</v>
      </c>
      <c r="N19">
        <v>6.3</v>
      </c>
      <c r="O19">
        <v>18.8</v>
      </c>
      <c r="P19">
        <v>41.5</v>
      </c>
      <c r="Q19">
        <v>40.4</v>
      </c>
      <c r="R19">
        <v>39.5</v>
      </c>
      <c r="S19">
        <v>49.1</v>
      </c>
      <c r="T19">
        <v>50</v>
      </c>
      <c r="U19">
        <v>62</v>
      </c>
      <c r="V19">
        <v>67.900000000000006</v>
      </c>
    </row>
    <row r="20" spans="1:22" x14ac:dyDescent="0.3">
      <c r="A20" t="s">
        <v>210</v>
      </c>
      <c r="B20">
        <v>2.2999999999999998</v>
      </c>
      <c r="C20">
        <v>2.6</v>
      </c>
      <c r="E20">
        <v>3</v>
      </c>
      <c r="F20">
        <v>3.6</v>
      </c>
      <c r="G20">
        <v>3.9</v>
      </c>
      <c r="H20">
        <v>4.4000000000000004</v>
      </c>
      <c r="I20">
        <v>4.8</v>
      </c>
      <c r="J20">
        <v>5.2</v>
      </c>
      <c r="K20">
        <v>5</v>
      </c>
      <c r="L20">
        <v>5.2</v>
      </c>
      <c r="M20">
        <v>6</v>
      </c>
      <c r="N20">
        <v>6.7</v>
      </c>
      <c r="O20">
        <v>24.1</v>
      </c>
      <c r="P20">
        <v>59.1</v>
      </c>
      <c r="Q20">
        <v>48.3</v>
      </c>
      <c r="R20">
        <v>47.4</v>
      </c>
      <c r="S20">
        <v>59.1</v>
      </c>
      <c r="T20">
        <v>59.7</v>
      </c>
      <c r="U20">
        <v>75.7</v>
      </c>
      <c r="V20">
        <v>84.3</v>
      </c>
    </row>
    <row r="21" spans="1:22" x14ac:dyDescent="0.3">
      <c r="A21" t="s">
        <v>211</v>
      </c>
      <c r="B21">
        <v>0.5</v>
      </c>
      <c r="C21">
        <v>0.6</v>
      </c>
      <c r="E21">
        <v>0.9</v>
      </c>
      <c r="F21">
        <v>1.2</v>
      </c>
      <c r="G21">
        <v>1.3</v>
      </c>
      <c r="H21">
        <v>1.4</v>
      </c>
      <c r="I21">
        <v>1.6</v>
      </c>
      <c r="J21">
        <v>1.5</v>
      </c>
      <c r="K21">
        <v>1.4</v>
      </c>
      <c r="L21">
        <v>1.4</v>
      </c>
      <c r="M21">
        <v>1.3</v>
      </c>
      <c r="N21">
        <v>1.2</v>
      </c>
      <c r="O21">
        <v>1.6</v>
      </c>
      <c r="P21">
        <v>4.2</v>
      </c>
      <c r="Q21">
        <v>4.0999999999999996</v>
      </c>
      <c r="R21">
        <v>3.8</v>
      </c>
      <c r="S21">
        <v>3.6</v>
      </c>
      <c r="T21">
        <v>6.5</v>
      </c>
      <c r="U21">
        <v>10.9</v>
      </c>
      <c r="V21">
        <v>10.9</v>
      </c>
    </row>
    <row r="22" spans="1:22" x14ac:dyDescent="0.3">
      <c r="A22" t="s">
        <v>212</v>
      </c>
    </row>
    <row r="23" spans="1:22" x14ac:dyDescent="0.3">
      <c r="A23" t="s">
        <v>213</v>
      </c>
      <c r="B23">
        <v>0.1</v>
      </c>
      <c r="C23">
        <v>0.1</v>
      </c>
      <c r="E23">
        <v>0</v>
      </c>
      <c r="F23">
        <v>0</v>
      </c>
      <c r="G23">
        <v>0</v>
      </c>
      <c r="H23">
        <v>0</v>
      </c>
      <c r="N23">
        <v>0</v>
      </c>
      <c r="O23">
        <v>0</v>
      </c>
      <c r="R23">
        <v>0</v>
      </c>
      <c r="U23">
        <v>0.9</v>
      </c>
    </row>
    <row r="24" spans="1:22" x14ac:dyDescent="0.3">
      <c r="A24" t="s">
        <v>214</v>
      </c>
      <c r="B24">
        <v>2.8</v>
      </c>
      <c r="C24">
        <v>3.3</v>
      </c>
      <c r="E24">
        <v>4</v>
      </c>
      <c r="F24">
        <v>4.8</v>
      </c>
      <c r="G24">
        <v>5.3</v>
      </c>
      <c r="H24">
        <v>5.8</v>
      </c>
      <c r="I24">
        <v>6.4</v>
      </c>
      <c r="J24">
        <v>6.7</v>
      </c>
      <c r="K24">
        <v>6.3</v>
      </c>
      <c r="L24">
        <v>6.6</v>
      </c>
      <c r="M24">
        <v>7.3</v>
      </c>
      <c r="N24">
        <v>7.9</v>
      </c>
      <c r="O24">
        <v>25.7</v>
      </c>
      <c r="P24">
        <v>63.3</v>
      </c>
      <c r="Q24">
        <v>52.3</v>
      </c>
      <c r="R24">
        <v>51.2</v>
      </c>
      <c r="S24">
        <v>62.8</v>
      </c>
      <c r="T24">
        <v>66.2</v>
      </c>
      <c r="U24">
        <v>87.5</v>
      </c>
      <c r="V24">
        <v>95.2</v>
      </c>
    </row>
    <row r="25" spans="1:22" x14ac:dyDescent="0.3">
      <c r="A25" t="s">
        <v>17</v>
      </c>
      <c r="B25">
        <v>13.5</v>
      </c>
      <c r="C25">
        <v>19.5</v>
      </c>
      <c r="E25">
        <v>20.9</v>
      </c>
      <c r="F25">
        <v>24.4</v>
      </c>
      <c r="G25">
        <v>28</v>
      </c>
      <c r="H25">
        <v>30.3</v>
      </c>
      <c r="I25">
        <v>34.6</v>
      </c>
      <c r="J25">
        <v>36.5</v>
      </c>
      <c r="K25">
        <v>41.8</v>
      </c>
      <c r="L25">
        <v>48.3</v>
      </c>
      <c r="M25">
        <v>54.9</v>
      </c>
      <c r="N25">
        <v>59.5</v>
      </c>
      <c r="O25">
        <v>74.599999999999994</v>
      </c>
      <c r="P25">
        <v>114</v>
      </c>
      <c r="Q25">
        <v>104.7</v>
      </c>
      <c r="R25">
        <v>104.1</v>
      </c>
      <c r="S25">
        <v>117.2</v>
      </c>
      <c r="T25">
        <v>133.4</v>
      </c>
      <c r="U25">
        <v>177.5</v>
      </c>
      <c r="V25">
        <v>186.8</v>
      </c>
    </row>
    <row r="26" spans="1:22" x14ac:dyDescent="0.3">
      <c r="A26" t="s">
        <v>215</v>
      </c>
    </row>
    <row r="27" spans="1:22" x14ac:dyDescent="0.3">
      <c r="A27" t="s">
        <v>216</v>
      </c>
      <c r="O27">
        <v>0.6</v>
      </c>
      <c r="Q27">
        <v>1</v>
      </c>
      <c r="S27">
        <v>0.8</v>
      </c>
      <c r="U27">
        <v>14.7</v>
      </c>
      <c r="V27">
        <v>26.8</v>
      </c>
    </row>
    <row r="28" spans="1:22" x14ac:dyDescent="0.3">
      <c r="A28" t="s">
        <v>217</v>
      </c>
      <c r="B28">
        <v>3.1</v>
      </c>
      <c r="C28">
        <v>4.3</v>
      </c>
      <c r="E28">
        <v>4.0999999999999996</v>
      </c>
      <c r="F28">
        <v>7.5</v>
      </c>
      <c r="G28">
        <v>5.2</v>
      </c>
      <c r="H28">
        <v>8.6999999999999993</v>
      </c>
      <c r="I28">
        <v>6.3</v>
      </c>
      <c r="J28">
        <v>6.4</v>
      </c>
      <c r="K28">
        <v>4</v>
      </c>
      <c r="L28">
        <v>9.1</v>
      </c>
      <c r="M28">
        <v>6.4</v>
      </c>
      <c r="N28">
        <v>8.4</v>
      </c>
      <c r="O28">
        <v>9</v>
      </c>
      <c r="P28">
        <v>17.600000000000001</v>
      </c>
      <c r="Q28">
        <v>13.4</v>
      </c>
      <c r="R28">
        <v>14.9</v>
      </c>
      <c r="S28">
        <v>11.5</v>
      </c>
      <c r="T28">
        <v>27.2</v>
      </c>
      <c r="U28">
        <v>22.8</v>
      </c>
      <c r="V28">
        <v>26.5</v>
      </c>
    </row>
    <row r="29" spans="1:22" x14ac:dyDescent="0.3">
      <c r="A29" t="s">
        <v>294</v>
      </c>
      <c r="B29">
        <v>1.2</v>
      </c>
      <c r="C29">
        <v>2.1</v>
      </c>
      <c r="E29">
        <v>2.6</v>
      </c>
      <c r="G29">
        <v>3</v>
      </c>
      <c r="I29">
        <v>2.1</v>
      </c>
      <c r="K29">
        <v>3.5</v>
      </c>
      <c r="M29">
        <v>4</v>
      </c>
      <c r="O29">
        <v>6.2</v>
      </c>
      <c r="Q29">
        <v>9.6</v>
      </c>
      <c r="S29">
        <v>11.7</v>
      </c>
      <c r="U29">
        <v>12.6</v>
      </c>
    </row>
    <row r="30" spans="1:22" x14ac:dyDescent="0.3">
      <c r="A30" t="s">
        <v>40</v>
      </c>
      <c r="B30">
        <v>0.2</v>
      </c>
      <c r="C30">
        <v>0.5</v>
      </c>
      <c r="E30">
        <v>0.4</v>
      </c>
      <c r="F30">
        <v>0.4</v>
      </c>
      <c r="G30">
        <v>0.6</v>
      </c>
      <c r="I30">
        <v>0.9</v>
      </c>
      <c r="J30">
        <v>0.5</v>
      </c>
      <c r="K30">
        <v>0.7</v>
      </c>
      <c r="L30">
        <v>0.3</v>
      </c>
      <c r="M30">
        <v>0.7</v>
      </c>
      <c r="N30">
        <v>0.7</v>
      </c>
      <c r="O30">
        <v>1</v>
      </c>
      <c r="P30">
        <v>0.6</v>
      </c>
      <c r="Q30">
        <v>0.8</v>
      </c>
      <c r="R30">
        <v>3.4</v>
      </c>
      <c r="S30">
        <v>0.4</v>
      </c>
      <c r="U30">
        <v>2.1</v>
      </c>
      <c r="V30">
        <v>1</v>
      </c>
    </row>
    <row r="31" spans="1:22" x14ac:dyDescent="0.3">
      <c r="A31" t="s">
        <v>218</v>
      </c>
      <c r="C31">
        <v>0</v>
      </c>
      <c r="E31">
        <v>0</v>
      </c>
      <c r="H31">
        <v>0.6</v>
      </c>
      <c r="I31">
        <v>1.1000000000000001</v>
      </c>
      <c r="J31">
        <v>0.4</v>
      </c>
      <c r="K31">
        <v>0.5</v>
      </c>
      <c r="M31">
        <v>0</v>
      </c>
      <c r="N31">
        <v>0.2</v>
      </c>
      <c r="O31">
        <v>0.2</v>
      </c>
      <c r="P31">
        <v>0</v>
      </c>
      <c r="Q31">
        <v>1.1000000000000001</v>
      </c>
      <c r="R31">
        <v>2.2000000000000002</v>
      </c>
      <c r="S31">
        <v>1.1000000000000001</v>
      </c>
      <c r="T31">
        <v>2.7</v>
      </c>
      <c r="U31">
        <v>2.1</v>
      </c>
      <c r="V31">
        <v>2.9</v>
      </c>
    </row>
    <row r="32" spans="1:22" x14ac:dyDescent="0.3">
      <c r="A32" t="s">
        <v>219</v>
      </c>
      <c r="B32">
        <v>4.5</v>
      </c>
      <c r="C32">
        <v>6.8</v>
      </c>
      <c r="E32">
        <v>7.1</v>
      </c>
      <c r="F32">
        <v>7.9</v>
      </c>
      <c r="G32">
        <v>8.8000000000000007</v>
      </c>
      <c r="H32">
        <v>9.3000000000000007</v>
      </c>
      <c r="I32">
        <v>10.4</v>
      </c>
      <c r="J32">
        <v>7.4</v>
      </c>
      <c r="K32">
        <v>8.6999999999999993</v>
      </c>
      <c r="L32">
        <v>9.4</v>
      </c>
      <c r="M32">
        <v>11.1</v>
      </c>
      <c r="N32">
        <v>9.4</v>
      </c>
      <c r="O32">
        <v>16.899999999999999</v>
      </c>
      <c r="P32">
        <v>18.2</v>
      </c>
      <c r="Q32">
        <v>26</v>
      </c>
      <c r="R32">
        <v>20.5</v>
      </c>
      <c r="S32">
        <v>25.5</v>
      </c>
      <c r="T32">
        <v>29.9</v>
      </c>
      <c r="U32">
        <v>54.2</v>
      </c>
      <c r="V32">
        <v>57.1</v>
      </c>
    </row>
    <row r="33" spans="1:22" x14ac:dyDescent="0.3">
      <c r="A33" t="s">
        <v>220</v>
      </c>
      <c r="P33">
        <v>32.6</v>
      </c>
      <c r="Q33">
        <v>12.5</v>
      </c>
      <c r="R33">
        <v>-0.3</v>
      </c>
      <c r="S33">
        <v>0.3</v>
      </c>
      <c r="T33">
        <v>-0.2</v>
      </c>
      <c r="U33">
        <v>8.8000000000000007</v>
      </c>
    </row>
    <row r="34" spans="1:22" x14ac:dyDescent="0.3">
      <c r="A34" t="s">
        <v>151</v>
      </c>
      <c r="B34">
        <v>0.5</v>
      </c>
      <c r="C34">
        <v>0.5</v>
      </c>
      <c r="E34">
        <v>0.6</v>
      </c>
      <c r="F34">
        <v>0.8</v>
      </c>
      <c r="G34">
        <v>0.7</v>
      </c>
      <c r="H34">
        <v>0.8</v>
      </c>
      <c r="I34">
        <v>0.3</v>
      </c>
      <c r="J34">
        <v>0.5</v>
      </c>
      <c r="K34">
        <v>0.2</v>
      </c>
      <c r="L34">
        <v>0.6</v>
      </c>
      <c r="M34">
        <v>0.3</v>
      </c>
      <c r="N34">
        <v>0.9</v>
      </c>
      <c r="O34">
        <v>4.3</v>
      </c>
      <c r="P34">
        <v>8.1</v>
      </c>
      <c r="Q34">
        <v>7.8</v>
      </c>
      <c r="R34">
        <v>6.3</v>
      </c>
      <c r="S34">
        <v>6</v>
      </c>
      <c r="T34">
        <v>6.2</v>
      </c>
      <c r="U34">
        <v>9.1</v>
      </c>
      <c r="V34">
        <v>10.6</v>
      </c>
    </row>
    <row r="35" spans="1:22" x14ac:dyDescent="0.3">
      <c r="A35" t="s">
        <v>221</v>
      </c>
      <c r="Q35">
        <v>1.5</v>
      </c>
      <c r="R35">
        <v>1.5</v>
      </c>
      <c r="S35">
        <v>1.1000000000000001</v>
      </c>
    </row>
    <row r="36" spans="1:22" x14ac:dyDescent="0.3">
      <c r="A36" t="s">
        <v>222</v>
      </c>
    </row>
    <row r="37" spans="1:22" x14ac:dyDescent="0.3">
      <c r="A37" t="s">
        <v>223</v>
      </c>
      <c r="M37">
        <v>0</v>
      </c>
      <c r="Q37">
        <v>0</v>
      </c>
      <c r="R37">
        <v>0.7</v>
      </c>
      <c r="S37">
        <v>0</v>
      </c>
      <c r="T37">
        <v>3.4</v>
      </c>
      <c r="V37">
        <v>8.6</v>
      </c>
    </row>
    <row r="38" spans="1:22" x14ac:dyDescent="0.3">
      <c r="A38" t="s">
        <v>224</v>
      </c>
      <c r="B38">
        <v>0.5</v>
      </c>
      <c r="C38">
        <v>0.5</v>
      </c>
      <c r="E38">
        <v>0.6</v>
      </c>
      <c r="F38">
        <v>0.8</v>
      </c>
      <c r="G38">
        <v>0.7</v>
      </c>
      <c r="H38">
        <v>0.8</v>
      </c>
      <c r="I38">
        <v>0.3</v>
      </c>
      <c r="J38">
        <v>0.5</v>
      </c>
      <c r="K38">
        <v>0.2</v>
      </c>
      <c r="L38">
        <v>0.6</v>
      </c>
      <c r="M38">
        <v>0.3</v>
      </c>
      <c r="N38">
        <v>0.9</v>
      </c>
      <c r="O38">
        <v>4.3</v>
      </c>
      <c r="P38">
        <v>40.799999999999997</v>
      </c>
      <c r="Q38">
        <v>21.8</v>
      </c>
      <c r="R38">
        <v>8.1999999999999993</v>
      </c>
      <c r="S38">
        <v>7.3</v>
      </c>
      <c r="T38">
        <v>9.4</v>
      </c>
      <c r="U38">
        <v>18</v>
      </c>
      <c r="V38">
        <v>19.100000000000001</v>
      </c>
    </row>
    <row r="39" spans="1:22" x14ac:dyDescent="0.3">
      <c r="A39" t="s">
        <v>18</v>
      </c>
      <c r="B39">
        <v>4.9000000000000004</v>
      </c>
      <c r="C39">
        <v>7.3</v>
      </c>
      <c r="E39">
        <v>7.7</v>
      </c>
      <c r="F39">
        <v>8.6</v>
      </c>
      <c r="G39">
        <v>9.6</v>
      </c>
      <c r="H39">
        <v>10.1</v>
      </c>
      <c r="I39">
        <v>10.7</v>
      </c>
      <c r="J39">
        <v>7.9</v>
      </c>
      <c r="K39">
        <v>8.9</v>
      </c>
      <c r="L39">
        <v>10</v>
      </c>
      <c r="M39">
        <v>11.5</v>
      </c>
      <c r="N39">
        <v>10.199999999999999</v>
      </c>
      <c r="O39">
        <v>21.2</v>
      </c>
      <c r="P39">
        <v>59</v>
      </c>
      <c r="Q39">
        <v>47.8</v>
      </c>
      <c r="R39">
        <v>28.7</v>
      </c>
      <c r="S39">
        <v>32.9</v>
      </c>
      <c r="T39">
        <v>39.299999999999997</v>
      </c>
      <c r="U39">
        <v>72.2</v>
      </c>
      <c r="V39">
        <v>76.2</v>
      </c>
    </row>
    <row r="40" spans="1:22" x14ac:dyDescent="0.3">
      <c r="A40" t="s">
        <v>225</v>
      </c>
    </row>
    <row r="41" spans="1:22" x14ac:dyDescent="0.3">
      <c r="A41" t="s">
        <v>226</v>
      </c>
      <c r="B41">
        <v>0</v>
      </c>
      <c r="C41">
        <v>0</v>
      </c>
      <c r="E41">
        <v>0.1</v>
      </c>
      <c r="F41">
        <v>0.1</v>
      </c>
      <c r="G41">
        <v>0.1</v>
      </c>
      <c r="H41">
        <v>0.1</v>
      </c>
      <c r="I41">
        <v>0.1</v>
      </c>
      <c r="J41">
        <v>0.1</v>
      </c>
      <c r="K41">
        <v>0.1</v>
      </c>
      <c r="L41">
        <v>0.1</v>
      </c>
      <c r="M41">
        <v>0.1</v>
      </c>
      <c r="N41">
        <v>0.1</v>
      </c>
      <c r="O41">
        <v>0.1</v>
      </c>
      <c r="P41">
        <v>0.1</v>
      </c>
      <c r="Q41">
        <v>0.1</v>
      </c>
      <c r="R41">
        <v>0.1</v>
      </c>
      <c r="S41">
        <v>0.1</v>
      </c>
      <c r="T41">
        <v>0.1</v>
      </c>
      <c r="U41">
        <v>0.1</v>
      </c>
      <c r="V41">
        <v>0.1</v>
      </c>
    </row>
    <row r="42" spans="1:22" x14ac:dyDescent="0.3">
      <c r="A42" t="s">
        <v>227</v>
      </c>
    </row>
    <row r="43" spans="1:22" x14ac:dyDescent="0.3">
      <c r="A43" t="s">
        <v>228</v>
      </c>
      <c r="B43">
        <v>0</v>
      </c>
      <c r="C43">
        <v>0</v>
      </c>
      <c r="E43">
        <v>0.1</v>
      </c>
      <c r="F43">
        <v>0.1</v>
      </c>
      <c r="G43">
        <v>0.1</v>
      </c>
      <c r="H43">
        <v>0.1</v>
      </c>
      <c r="I43">
        <v>0.1</v>
      </c>
      <c r="J43">
        <v>0.1</v>
      </c>
      <c r="K43">
        <v>0.1</v>
      </c>
      <c r="L43">
        <v>0.1</v>
      </c>
      <c r="M43">
        <v>0.1</v>
      </c>
      <c r="N43">
        <v>0.1</v>
      </c>
      <c r="O43">
        <v>0.1</v>
      </c>
      <c r="P43">
        <v>0.1</v>
      </c>
      <c r="Q43">
        <v>0.1</v>
      </c>
      <c r="R43">
        <v>0.1</v>
      </c>
      <c r="S43">
        <v>0.1</v>
      </c>
      <c r="T43">
        <v>0.1</v>
      </c>
      <c r="U43">
        <v>0.1</v>
      </c>
      <c r="V43">
        <v>0.1</v>
      </c>
    </row>
    <row r="44" spans="1:22" x14ac:dyDescent="0.3">
      <c r="A44" t="s">
        <v>229</v>
      </c>
      <c r="B44">
        <v>1.2</v>
      </c>
      <c r="C44">
        <v>1.2</v>
      </c>
      <c r="F44">
        <v>1.4</v>
      </c>
      <c r="L44">
        <v>0.1</v>
      </c>
      <c r="M44">
        <v>0.1</v>
      </c>
      <c r="N44">
        <v>0.1</v>
      </c>
      <c r="O44">
        <v>0.1</v>
      </c>
      <c r="P44">
        <v>0.1</v>
      </c>
      <c r="Q44">
        <v>0.1</v>
      </c>
      <c r="R44">
        <v>0.1</v>
      </c>
      <c r="S44">
        <v>0.1</v>
      </c>
      <c r="T44">
        <v>0.1</v>
      </c>
      <c r="U44">
        <v>0.1</v>
      </c>
      <c r="V44">
        <v>0.1</v>
      </c>
    </row>
    <row r="45" spans="1:22" x14ac:dyDescent="0.3">
      <c r="A45" t="s">
        <v>230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22" x14ac:dyDescent="0.3">
      <c r="A46" t="s">
        <v>231</v>
      </c>
      <c r="B46">
        <v>7.3</v>
      </c>
      <c r="C46">
        <v>10.9</v>
      </c>
      <c r="E46">
        <v>11.7</v>
      </c>
      <c r="F46">
        <v>14.1</v>
      </c>
      <c r="G46">
        <v>17</v>
      </c>
      <c r="H46">
        <v>18.7</v>
      </c>
      <c r="I46">
        <v>23.3</v>
      </c>
      <c r="J46">
        <v>27.1</v>
      </c>
      <c r="K46">
        <v>31.7</v>
      </c>
      <c r="L46">
        <v>36.5</v>
      </c>
      <c r="M46">
        <v>41.7</v>
      </c>
      <c r="N46">
        <v>46.9</v>
      </c>
      <c r="O46">
        <v>51.8</v>
      </c>
      <c r="P46">
        <v>52.5</v>
      </c>
      <c r="Q46">
        <v>54.9</v>
      </c>
      <c r="R46">
        <v>72.900000000000006</v>
      </c>
      <c r="S46">
        <v>82.5</v>
      </c>
      <c r="T46">
        <v>93.8</v>
      </c>
      <c r="U46">
        <v>105</v>
      </c>
      <c r="V46">
        <v>111.1</v>
      </c>
    </row>
    <row r="47" spans="1:22" x14ac:dyDescent="0.3">
      <c r="A47" t="s">
        <v>232</v>
      </c>
      <c r="B47">
        <v>0</v>
      </c>
      <c r="C47">
        <v>0</v>
      </c>
      <c r="E47">
        <v>1.4</v>
      </c>
      <c r="F47">
        <v>0.2</v>
      </c>
      <c r="G47">
        <v>1.4</v>
      </c>
      <c r="H47">
        <v>1.5</v>
      </c>
      <c r="I47">
        <v>0.6</v>
      </c>
      <c r="J47">
        <v>1.5</v>
      </c>
      <c r="K47">
        <v>1.1000000000000001</v>
      </c>
      <c r="L47">
        <v>1.7</v>
      </c>
      <c r="M47">
        <v>1.5</v>
      </c>
      <c r="N47">
        <v>2.2000000000000002</v>
      </c>
      <c r="O47">
        <v>1.4</v>
      </c>
      <c r="P47">
        <v>2.2999999999999998</v>
      </c>
      <c r="Q47">
        <v>1.9</v>
      </c>
      <c r="R47">
        <v>2.2000000000000002</v>
      </c>
      <c r="S47">
        <v>1.6</v>
      </c>
      <c r="T47">
        <v>0.1</v>
      </c>
      <c r="U47">
        <v>0.1</v>
      </c>
      <c r="V47">
        <v>-0.7</v>
      </c>
    </row>
    <row r="48" spans="1:22" x14ac:dyDescent="0.3">
      <c r="A48" t="s">
        <v>233</v>
      </c>
      <c r="B48">
        <v>8.6</v>
      </c>
      <c r="C48">
        <v>12.2</v>
      </c>
      <c r="E48">
        <v>13.2</v>
      </c>
      <c r="F48">
        <v>15.8</v>
      </c>
      <c r="G48">
        <v>18.5</v>
      </c>
      <c r="H48">
        <v>20.2</v>
      </c>
      <c r="I48">
        <v>23.9</v>
      </c>
      <c r="J48">
        <v>28.6</v>
      </c>
      <c r="K48">
        <v>32.9</v>
      </c>
      <c r="L48">
        <v>38.299999999999997</v>
      </c>
      <c r="M48">
        <v>43.4</v>
      </c>
      <c r="N48">
        <v>49.3</v>
      </c>
      <c r="O48">
        <v>53.4</v>
      </c>
      <c r="P48">
        <v>55</v>
      </c>
      <c r="Q48">
        <v>56.9</v>
      </c>
      <c r="R48">
        <v>75.3</v>
      </c>
      <c r="S48">
        <v>84.3</v>
      </c>
      <c r="T48">
        <v>94.1</v>
      </c>
      <c r="U48">
        <v>105.3</v>
      </c>
      <c r="V48">
        <v>110.6</v>
      </c>
    </row>
    <row r="49" spans="1:22" x14ac:dyDescent="0.3">
      <c r="A49" t="s">
        <v>234</v>
      </c>
    </row>
    <row r="50" spans="1:22" x14ac:dyDescent="0.3">
      <c r="A50" t="s">
        <v>23</v>
      </c>
      <c r="B50">
        <v>8.6</v>
      </c>
      <c r="C50">
        <v>12.2</v>
      </c>
      <c r="E50">
        <v>13.2</v>
      </c>
      <c r="F50">
        <v>15.8</v>
      </c>
      <c r="G50">
        <v>18.5</v>
      </c>
      <c r="H50">
        <v>20.2</v>
      </c>
      <c r="I50">
        <v>23.9</v>
      </c>
      <c r="J50">
        <v>28.6</v>
      </c>
      <c r="K50">
        <v>32.9</v>
      </c>
      <c r="L50">
        <v>38.299999999999997</v>
      </c>
      <c r="M50">
        <v>43.4</v>
      </c>
      <c r="N50">
        <v>49.3</v>
      </c>
      <c r="O50">
        <v>53.4</v>
      </c>
      <c r="P50">
        <v>55</v>
      </c>
      <c r="Q50">
        <v>56.9</v>
      </c>
      <c r="R50">
        <v>75.3</v>
      </c>
      <c r="S50">
        <v>84.3</v>
      </c>
      <c r="T50">
        <v>94.1</v>
      </c>
      <c r="U50">
        <v>105.3</v>
      </c>
      <c r="V50">
        <v>110.6</v>
      </c>
    </row>
    <row r="51" spans="1:22" x14ac:dyDescent="0.3">
      <c r="A51" t="s">
        <v>235</v>
      </c>
      <c r="B51">
        <v>13.5</v>
      </c>
      <c r="C51">
        <v>19.5</v>
      </c>
      <c r="E51">
        <v>20.9</v>
      </c>
      <c r="F51">
        <v>24.4</v>
      </c>
      <c r="G51">
        <v>28</v>
      </c>
      <c r="H51">
        <v>30.3</v>
      </c>
      <c r="I51">
        <v>34.6</v>
      </c>
      <c r="J51">
        <v>36.5</v>
      </c>
      <c r="K51">
        <v>41.8</v>
      </c>
      <c r="L51">
        <v>48.3</v>
      </c>
      <c r="M51">
        <v>54.9</v>
      </c>
      <c r="N51">
        <v>59.5</v>
      </c>
      <c r="O51">
        <v>74.599999999999994</v>
      </c>
      <c r="P51">
        <v>114</v>
      </c>
      <c r="Q51">
        <v>104.7</v>
      </c>
      <c r="R51">
        <v>104.1</v>
      </c>
      <c r="S51">
        <v>117.2</v>
      </c>
      <c r="T51">
        <v>133.4</v>
      </c>
      <c r="U51">
        <v>177.5</v>
      </c>
      <c r="V51">
        <v>186.8</v>
      </c>
    </row>
    <row r="52" spans="1:22" x14ac:dyDescent="0.3">
      <c r="A52" t="s">
        <v>236</v>
      </c>
    </row>
    <row r="53" spans="1:22" x14ac:dyDescent="0.3">
      <c r="A53" t="s">
        <v>237</v>
      </c>
      <c r="Q53">
        <v>0.9</v>
      </c>
      <c r="S53">
        <v>0.5</v>
      </c>
      <c r="U53">
        <v>8.8000000000000007</v>
      </c>
    </row>
    <row r="54" spans="1:22" x14ac:dyDescent="0.3">
      <c r="A54" t="s">
        <v>238</v>
      </c>
      <c r="P54">
        <v>32.6</v>
      </c>
      <c r="Q54">
        <v>12.5</v>
      </c>
      <c r="R54">
        <v>-0.3</v>
      </c>
      <c r="S54">
        <v>0.3</v>
      </c>
      <c r="T54">
        <v>-0.2</v>
      </c>
      <c r="U54">
        <v>8.8000000000000007</v>
      </c>
    </row>
    <row r="55" spans="1:22" x14ac:dyDescent="0.3">
      <c r="A55" t="s">
        <v>239</v>
      </c>
      <c r="Q55">
        <v>1</v>
      </c>
      <c r="S55">
        <v>0.8</v>
      </c>
      <c r="U55">
        <v>1.6</v>
      </c>
    </row>
    <row r="56" spans="1:22" x14ac:dyDescent="0.3">
      <c r="A56" t="s">
        <v>240</v>
      </c>
      <c r="O56">
        <v>0.6</v>
      </c>
      <c r="Q56">
        <v>1</v>
      </c>
      <c r="S56">
        <v>0.8</v>
      </c>
      <c r="U56">
        <v>14.7</v>
      </c>
      <c r="V56">
        <v>26.8</v>
      </c>
    </row>
    <row r="57" spans="1:22" x14ac:dyDescent="0.3">
      <c r="A57" t="s">
        <v>241</v>
      </c>
      <c r="O57">
        <v>0.6</v>
      </c>
      <c r="P57">
        <v>32.6</v>
      </c>
      <c r="Q57">
        <v>13.5</v>
      </c>
      <c r="R57">
        <v>-0.3</v>
      </c>
      <c r="S57">
        <v>1</v>
      </c>
      <c r="T57">
        <v>-0.2</v>
      </c>
      <c r="U57">
        <v>23.5</v>
      </c>
      <c r="V57">
        <v>26.8</v>
      </c>
    </row>
    <row r="58" spans="1:22" x14ac:dyDescent="0.3">
      <c r="A58" t="s">
        <v>205</v>
      </c>
      <c r="B58">
        <v>2.2999999999999998</v>
      </c>
      <c r="C58">
        <v>1.6</v>
      </c>
      <c r="E58">
        <v>3.8</v>
      </c>
      <c r="F58">
        <v>4.7</v>
      </c>
      <c r="G58">
        <v>6.2</v>
      </c>
      <c r="H58">
        <v>4</v>
      </c>
      <c r="I58">
        <v>5.6</v>
      </c>
      <c r="J58">
        <v>9.4</v>
      </c>
      <c r="K58">
        <v>14.2</v>
      </c>
      <c r="L58">
        <v>19.7</v>
      </c>
      <c r="M58">
        <v>22.8</v>
      </c>
      <c r="N58">
        <v>26.2</v>
      </c>
      <c r="O58">
        <v>15.5</v>
      </c>
      <c r="P58">
        <v>12.8</v>
      </c>
      <c r="Q58">
        <v>15</v>
      </c>
      <c r="R58">
        <v>18.8</v>
      </c>
      <c r="S58">
        <v>17.3</v>
      </c>
      <c r="T58">
        <v>17.8</v>
      </c>
      <c r="U58">
        <v>12.8</v>
      </c>
      <c r="V58">
        <v>13.5</v>
      </c>
    </row>
    <row r="59" spans="1:22" x14ac:dyDescent="0.3">
      <c r="A59" t="s">
        <v>143</v>
      </c>
      <c r="B59">
        <v>-2.2999999999999998</v>
      </c>
      <c r="C59">
        <v>-1.6</v>
      </c>
      <c r="E59">
        <v>-3.8</v>
      </c>
      <c r="F59">
        <v>-4.7</v>
      </c>
      <c r="G59">
        <v>-6.2</v>
      </c>
      <c r="H59">
        <v>-4</v>
      </c>
      <c r="I59">
        <v>-5.6</v>
      </c>
      <c r="J59">
        <v>-9.4</v>
      </c>
      <c r="K59">
        <v>-14.2</v>
      </c>
      <c r="L59">
        <v>-19.7</v>
      </c>
      <c r="M59">
        <v>-22.8</v>
      </c>
      <c r="N59">
        <v>-26.2</v>
      </c>
      <c r="O59">
        <v>-14.9</v>
      </c>
      <c r="P59">
        <v>19.899999999999999</v>
      </c>
      <c r="Q59">
        <v>-1.4</v>
      </c>
      <c r="R59">
        <v>-19.100000000000001</v>
      </c>
      <c r="S59">
        <v>-16.3</v>
      </c>
      <c r="T59">
        <v>-18</v>
      </c>
      <c r="U59">
        <v>10.8</v>
      </c>
      <c r="V59">
        <v>13.2</v>
      </c>
    </row>
    <row r="60" spans="1:22" x14ac:dyDescent="0.3">
      <c r="A60" t="s">
        <v>242</v>
      </c>
    </row>
    <row r="61" spans="1:22" x14ac:dyDescent="0.3">
      <c r="A61" t="s">
        <v>144</v>
      </c>
      <c r="B61">
        <v>8.6</v>
      </c>
      <c r="C61">
        <v>12.2</v>
      </c>
      <c r="E61">
        <v>13.2</v>
      </c>
      <c r="F61">
        <v>15.8</v>
      </c>
      <c r="G61">
        <v>18.5</v>
      </c>
      <c r="H61">
        <v>20.2</v>
      </c>
      <c r="I61">
        <v>23.9</v>
      </c>
      <c r="J61">
        <v>28.6</v>
      </c>
      <c r="K61">
        <v>32.9</v>
      </c>
      <c r="L61">
        <v>38.299999999999997</v>
      </c>
      <c r="M61">
        <v>43.4</v>
      </c>
      <c r="N61">
        <v>49.3</v>
      </c>
      <c r="O61">
        <v>53.4</v>
      </c>
      <c r="P61">
        <v>55</v>
      </c>
      <c r="Q61">
        <v>56.9</v>
      </c>
      <c r="R61">
        <v>75.3</v>
      </c>
      <c r="S61">
        <v>84.3</v>
      </c>
      <c r="T61">
        <v>94.1</v>
      </c>
      <c r="U61">
        <v>105.3</v>
      </c>
      <c r="V61">
        <v>110.6</v>
      </c>
    </row>
    <row r="62" spans="1:22" x14ac:dyDescent="0.3">
      <c r="A62" t="s">
        <v>243</v>
      </c>
      <c r="B62">
        <v>6.3</v>
      </c>
      <c r="C62">
        <v>9.6</v>
      </c>
      <c r="E62">
        <v>10.199999999999999</v>
      </c>
      <c r="F62">
        <v>12.2</v>
      </c>
      <c r="G62">
        <v>14.5</v>
      </c>
      <c r="H62">
        <v>15.8</v>
      </c>
      <c r="I62">
        <v>19.100000000000001</v>
      </c>
      <c r="J62">
        <v>23.4</v>
      </c>
      <c r="K62">
        <v>27.9</v>
      </c>
      <c r="L62">
        <v>33</v>
      </c>
      <c r="M62">
        <v>37.4</v>
      </c>
      <c r="N62">
        <v>42.5</v>
      </c>
      <c r="O62">
        <v>29.3</v>
      </c>
      <c r="P62">
        <v>-4.0999999999999996</v>
      </c>
      <c r="Q62">
        <v>8.6</v>
      </c>
      <c r="R62">
        <v>28</v>
      </c>
      <c r="S62">
        <v>25.2</v>
      </c>
      <c r="T62">
        <v>34.4</v>
      </c>
      <c r="U62">
        <v>29.6</v>
      </c>
      <c r="V62">
        <v>26.4</v>
      </c>
    </row>
    <row r="63" spans="1:22" x14ac:dyDescent="0.3">
      <c r="A63" t="s">
        <v>244</v>
      </c>
      <c r="B63">
        <v>14.7</v>
      </c>
      <c r="C63">
        <v>20.9</v>
      </c>
      <c r="E63">
        <v>22.7</v>
      </c>
      <c r="F63">
        <v>27.2</v>
      </c>
      <c r="G63">
        <v>31.8</v>
      </c>
      <c r="H63">
        <v>34.799999999999997</v>
      </c>
      <c r="I63">
        <v>41.1</v>
      </c>
      <c r="J63">
        <v>49.3</v>
      </c>
      <c r="K63">
        <v>56.6</v>
      </c>
      <c r="L63">
        <v>65.900000000000006</v>
      </c>
      <c r="M63">
        <v>74.8</v>
      </c>
      <c r="N63">
        <v>84.8</v>
      </c>
      <c r="O63">
        <v>91.9</v>
      </c>
      <c r="P63">
        <v>94.6</v>
      </c>
      <c r="Q63">
        <v>97.9</v>
      </c>
      <c r="R63">
        <v>128.4</v>
      </c>
      <c r="S63">
        <v>143.80000000000001</v>
      </c>
      <c r="T63">
        <v>160.4</v>
      </c>
      <c r="U63">
        <v>179.5</v>
      </c>
      <c r="V63">
        <v>186.9</v>
      </c>
    </row>
    <row r="64" spans="1:22" x14ac:dyDescent="0.3">
      <c r="A64" t="s">
        <v>245</v>
      </c>
      <c r="B64">
        <v>10.8</v>
      </c>
      <c r="C64">
        <v>16.399999999999999</v>
      </c>
      <c r="E64">
        <v>17.5</v>
      </c>
      <c r="F64">
        <v>21.1</v>
      </c>
      <c r="G64">
        <v>25</v>
      </c>
      <c r="H64">
        <v>27.2</v>
      </c>
      <c r="I64">
        <v>32.9</v>
      </c>
      <c r="J64">
        <v>40.299999999999997</v>
      </c>
      <c r="K64">
        <v>48.1</v>
      </c>
      <c r="L64">
        <v>56.9</v>
      </c>
      <c r="M64">
        <v>64.400000000000006</v>
      </c>
      <c r="N64">
        <v>73.2</v>
      </c>
      <c r="O64">
        <v>50.4</v>
      </c>
      <c r="P64">
        <v>-7.1</v>
      </c>
      <c r="Q64">
        <v>14.9</v>
      </c>
      <c r="R64">
        <v>47.7</v>
      </c>
      <c r="S64">
        <v>43</v>
      </c>
      <c r="T64">
        <v>58.6</v>
      </c>
      <c r="U64">
        <v>50.5</v>
      </c>
      <c r="V64">
        <v>44.5</v>
      </c>
    </row>
    <row r="65" spans="1:22" x14ac:dyDescent="0.3">
      <c r="A65" t="s">
        <v>246</v>
      </c>
    </row>
    <row r="66" spans="1:22" x14ac:dyDescent="0.3">
      <c r="A66" t="s">
        <v>247</v>
      </c>
      <c r="B66">
        <v>6.2</v>
      </c>
      <c r="C66">
        <v>9.4</v>
      </c>
      <c r="E66">
        <v>9.8000000000000007</v>
      </c>
      <c r="F66">
        <v>11.8</v>
      </c>
      <c r="G66">
        <v>14</v>
      </c>
      <c r="H66">
        <v>15.2</v>
      </c>
      <c r="I66">
        <v>17.8</v>
      </c>
      <c r="J66">
        <v>22.4</v>
      </c>
      <c r="K66">
        <v>26.8</v>
      </c>
      <c r="L66">
        <v>32.299999999999997</v>
      </c>
      <c r="M66">
        <v>36.5</v>
      </c>
      <c r="N66">
        <v>42.2</v>
      </c>
      <c r="O66">
        <v>32</v>
      </c>
      <c r="P66">
        <v>32.5</v>
      </c>
      <c r="Q66">
        <v>26.4</v>
      </c>
      <c r="R66">
        <v>32.299999999999997</v>
      </c>
      <c r="S66">
        <v>28.9</v>
      </c>
      <c r="T66">
        <v>37.299999999999997</v>
      </c>
      <c r="U66">
        <v>35.799999999999997</v>
      </c>
      <c r="V66">
        <v>34.6</v>
      </c>
    </row>
    <row r="67" spans="1:22" x14ac:dyDescent="0.3">
      <c r="A67" t="s">
        <v>248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summary</vt:lpstr>
      <vt:lpstr>WACC</vt:lpstr>
      <vt:lpstr>detailed-financials</vt:lpstr>
      <vt:lpstr>checks</vt:lpstr>
      <vt:lpstr>sources&gt;&gt;&gt;</vt:lpstr>
      <vt:lpstr>forecasts</vt:lpstr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2022-10-29T12:00:07Z</dcterms:created>
  <dcterms:modified xsi:type="dcterms:W3CDTF">2023-05-20T15:45:37Z</dcterms:modified>
</cp:coreProperties>
</file>