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Moss\Documents\Tim M\PF\BATS\"/>
    </mc:Choice>
  </mc:AlternateContent>
  <xr:revisionPtr revIDLastSave="0" documentId="13_ncr:1_{984CBF94-9667-45B9-A707-2FB83876DF5D}" xr6:coauthVersionLast="47" xr6:coauthVersionMax="47" xr10:uidLastSave="{00000000-0000-0000-0000-000000000000}"/>
  <bookViews>
    <workbookView xWindow="-108" yWindow="-108" windowWidth="23256" windowHeight="12456" firstSheet="1" activeTab="1" xr2:uid="{4464965C-57E2-470B-B959-64ECF7EB36CC}"/>
  </bookViews>
  <sheets>
    <sheet name="cover" sheetId="1" state="hidden" r:id="rId1"/>
    <sheet name="summary" sheetId="11" r:id="rId2"/>
    <sheet name="WACC" sheetId="12" r:id="rId3"/>
    <sheet name="detailed-financials" sheetId="4" r:id="rId4"/>
    <sheet name="checks" sheetId="6" r:id="rId5"/>
    <sheet name="sources&gt;&gt;&gt;" sheetId="13" r:id="rId6"/>
    <sheet name="p&amp;l" sheetId="17" r:id="rId7"/>
    <sheet name="bs" sheetId="16" r:id="rId8"/>
    <sheet name="cf" sheetId="15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6" i="11" l="1"/>
  <c r="K75" i="11"/>
  <c r="J75" i="11"/>
  <c r="I75" i="11"/>
  <c r="H75" i="11"/>
  <c r="G75" i="11"/>
  <c r="F75" i="11"/>
  <c r="E75" i="11"/>
  <c r="L7" i="4"/>
  <c r="L20" i="11" s="1"/>
  <c r="D13" i="11"/>
  <c r="L12" i="11"/>
  <c r="L10" i="11"/>
  <c r="I11" i="12" s="1"/>
  <c r="L11" i="11"/>
  <c r="L53" i="4"/>
  <c r="M53" i="4" s="1"/>
  <c r="N53" i="4" s="1"/>
  <c r="O53" i="4" s="1"/>
  <c r="P53" i="4" s="1"/>
  <c r="Q53" i="4" s="1"/>
  <c r="K53" i="4"/>
  <c r="J45" i="4"/>
  <c r="I45" i="4"/>
  <c r="H45" i="4"/>
  <c r="G45" i="4"/>
  <c r="F45" i="4"/>
  <c r="E45" i="4"/>
  <c r="E14" i="4"/>
  <c r="E62" i="4"/>
  <c r="M38" i="11"/>
  <c r="M81" i="4" s="1"/>
  <c r="L38" i="11"/>
  <c r="L81" i="4" s="1"/>
  <c r="K38" i="11"/>
  <c r="L23" i="11"/>
  <c r="M23" i="11"/>
  <c r="K23" i="11"/>
  <c r="J12" i="4"/>
  <c r="J102" i="4" s="1"/>
  <c r="E60" i="4"/>
  <c r="E53" i="4"/>
  <c r="E32" i="4"/>
  <c r="E43" i="4"/>
  <c r="E41" i="4"/>
  <c r="E40" i="4"/>
  <c r="E39" i="4"/>
  <c r="E38" i="4"/>
  <c r="E33" i="4"/>
  <c r="E31" i="4"/>
  <c r="E30" i="4"/>
  <c r="E29" i="4"/>
  <c r="E28" i="4"/>
  <c r="E27" i="4"/>
  <c r="E26" i="4"/>
  <c r="E22" i="4"/>
  <c r="E21" i="4"/>
  <c r="E20" i="4"/>
  <c r="E19" i="4"/>
  <c r="E18" i="4"/>
  <c r="E17" i="4"/>
  <c r="E13" i="4" s="1"/>
  <c r="E16" i="4"/>
  <c r="E15" i="4"/>
  <c r="E12" i="4"/>
  <c r="E11" i="1" l="1"/>
  <c r="E12" i="1" s="1"/>
  <c r="E14" i="1"/>
  <c r="I10" i="12" l="1"/>
  <c r="B64" i="11"/>
  <c r="D11" i="11"/>
  <c r="E66" i="11" s="1"/>
  <c r="D12" i="11"/>
  <c r="P9" i="11"/>
  <c r="I17" i="12"/>
  <c r="I16" i="12"/>
  <c r="I15" i="12"/>
  <c r="I12" i="12"/>
  <c r="E67" i="11" l="1"/>
  <c r="F66" i="11"/>
  <c r="E64" i="11"/>
  <c r="F64" i="11" l="1"/>
  <c r="F67" i="11"/>
  <c r="G66" i="11"/>
  <c r="F6" i="4" l="1"/>
  <c r="E50" i="4"/>
  <c r="G67" i="11"/>
  <c r="G64" i="11"/>
  <c r="H66" i="11"/>
  <c r="F62" i="4" l="1"/>
  <c r="F14" i="4"/>
  <c r="F32" i="4"/>
  <c r="F53" i="4"/>
  <c r="F38" i="4"/>
  <c r="F22" i="4"/>
  <c r="F12" i="4"/>
  <c r="F19" i="4"/>
  <c r="F33" i="4"/>
  <c r="F21" i="4"/>
  <c r="F43" i="4"/>
  <c r="F26" i="4"/>
  <c r="F31" i="4"/>
  <c r="F41" i="4"/>
  <c r="F28" i="4"/>
  <c r="F30" i="4"/>
  <c r="F29" i="4"/>
  <c r="F20" i="4"/>
  <c r="F40" i="4"/>
  <c r="F27" i="4"/>
  <c r="F16" i="4"/>
  <c r="F18" i="4"/>
  <c r="F39" i="4"/>
  <c r="F15" i="4"/>
  <c r="F17" i="4"/>
  <c r="G6" i="4"/>
  <c r="F50" i="4"/>
  <c r="E19" i="11"/>
  <c r="H67" i="11"/>
  <c r="H64" i="11"/>
  <c r="I66" i="11"/>
  <c r="J66" i="11" s="1"/>
  <c r="G62" i="4" l="1"/>
  <c r="G14" i="4"/>
  <c r="F13" i="4"/>
  <c r="G32" i="4"/>
  <c r="G53" i="4"/>
  <c r="G30" i="4"/>
  <c r="G19" i="4"/>
  <c r="G16" i="4"/>
  <c r="G29" i="4"/>
  <c r="G15" i="4"/>
  <c r="G31" i="4"/>
  <c r="G40" i="4"/>
  <c r="G27" i="4"/>
  <c r="G18" i="4"/>
  <c r="G39" i="4"/>
  <c r="G20" i="4"/>
  <c r="G41" i="4"/>
  <c r="G38" i="4"/>
  <c r="G12" i="4"/>
  <c r="G33" i="4"/>
  <c r="G21" i="4"/>
  <c r="G43" i="4"/>
  <c r="G26" i="4"/>
  <c r="G28" i="4"/>
  <c r="G17" i="4"/>
  <c r="G22" i="4"/>
  <c r="H6" i="4"/>
  <c r="G50" i="4"/>
  <c r="E102" i="4"/>
  <c r="E96" i="4"/>
  <c r="E99" i="4"/>
  <c r="E89" i="4"/>
  <c r="E88" i="4"/>
  <c r="E91" i="4"/>
  <c r="E94" i="4"/>
  <c r="E92" i="4"/>
  <c r="E90" i="4"/>
  <c r="E85" i="4"/>
  <c r="E81" i="4"/>
  <c r="E38" i="11" s="1"/>
  <c r="E84" i="4"/>
  <c r="E83" i="4"/>
  <c r="E39" i="11" s="1"/>
  <c r="E82" i="4"/>
  <c r="E87" i="4"/>
  <c r="E76" i="4"/>
  <c r="E80" i="4"/>
  <c r="E54" i="4"/>
  <c r="E36" i="11"/>
  <c r="E49" i="4"/>
  <c r="E20" i="11"/>
  <c r="E67" i="4"/>
  <c r="E70" i="4"/>
  <c r="E65" i="4"/>
  <c r="E55" i="4"/>
  <c r="E58" i="4"/>
  <c r="E57" i="4"/>
  <c r="J64" i="11"/>
  <c r="K66" i="11"/>
  <c r="L66" i="11" s="1"/>
  <c r="J67" i="11"/>
  <c r="I64" i="11"/>
  <c r="I67" i="11"/>
  <c r="G13" i="4" l="1"/>
  <c r="H62" i="4"/>
  <c r="H14" i="4"/>
  <c r="E33" i="11"/>
  <c r="E32" i="11"/>
  <c r="E56" i="4"/>
  <c r="H32" i="4"/>
  <c r="H57" i="4"/>
  <c r="H55" i="4"/>
  <c r="H53" i="4"/>
  <c r="H40" i="4"/>
  <c r="H27" i="4"/>
  <c r="H16" i="4"/>
  <c r="H31" i="4"/>
  <c r="H20" i="4"/>
  <c r="H41" i="4"/>
  <c r="H38" i="4"/>
  <c r="H33" i="4"/>
  <c r="H21" i="4"/>
  <c r="H39" i="4"/>
  <c r="H26" i="4"/>
  <c r="H28" i="4"/>
  <c r="H19" i="4"/>
  <c r="H43" i="4"/>
  <c r="H29" i="4"/>
  <c r="H18" i="4"/>
  <c r="H15" i="4"/>
  <c r="H17" i="4"/>
  <c r="H22" i="4"/>
  <c r="H12" i="4"/>
  <c r="H36" i="11" s="1"/>
  <c r="H30" i="4"/>
  <c r="E30" i="11"/>
  <c r="H82" i="4"/>
  <c r="H70" i="4"/>
  <c r="H76" i="4"/>
  <c r="H58" i="4"/>
  <c r="H54" i="4"/>
  <c r="H92" i="4"/>
  <c r="H96" i="4"/>
  <c r="H49" i="4"/>
  <c r="I6" i="4"/>
  <c r="H50" i="4"/>
  <c r="H102" i="4"/>
  <c r="H67" i="4"/>
  <c r="H91" i="4"/>
  <c r="H99" i="4"/>
  <c r="H94" i="4"/>
  <c r="H87" i="4"/>
  <c r="H89" i="4"/>
  <c r="H85" i="4"/>
  <c r="H88" i="4"/>
  <c r="H60" i="4"/>
  <c r="H7" i="4"/>
  <c r="H20" i="11" s="1"/>
  <c r="H80" i="4"/>
  <c r="H90" i="4"/>
  <c r="H84" i="4"/>
  <c r="H81" i="4"/>
  <c r="H38" i="11" s="1"/>
  <c r="H65" i="4"/>
  <c r="H83" i="4"/>
  <c r="H39" i="11" s="1"/>
  <c r="E61" i="11"/>
  <c r="E44" i="11"/>
  <c r="E51" i="4"/>
  <c r="E52" i="4" s="1"/>
  <c r="E27" i="11" s="1"/>
  <c r="E35" i="11"/>
  <c r="E48" i="11"/>
  <c r="E97" i="4"/>
  <c r="E100" i="4" s="1"/>
  <c r="E103" i="4" s="1"/>
  <c r="E75" i="4"/>
  <c r="E50" i="11"/>
  <c r="E78" i="4"/>
  <c r="F19" i="11"/>
  <c r="G19" i="11"/>
  <c r="F102" i="4"/>
  <c r="F96" i="4"/>
  <c r="F99" i="4"/>
  <c r="E93" i="4"/>
  <c r="F88" i="4"/>
  <c r="F91" i="4"/>
  <c r="F94" i="4"/>
  <c r="F92" i="4"/>
  <c r="F90" i="4"/>
  <c r="F89" i="4"/>
  <c r="E86" i="4"/>
  <c r="F81" i="4"/>
  <c r="F38" i="11" s="1"/>
  <c r="F84" i="4"/>
  <c r="F83" i="4"/>
  <c r="F39" i="11" s="1"/>
  <c r="F85" i="4"/>
  <c r="F87" i="4"/>
  <c r="F82" i="4"/>
  <c r="F80" i="4"/>
  <c r="E25" i="4"/>
  <c r="F65" i="4"/>
  <c r="F76" i="4"/>
  <c r="E34" i="4"/>
  <c r="E42" i="4"/>
  <c r="F57" i="4"/>
  <c r="F49" i="4"/>
  <c r="F60" i="4"/>
  <c r="F7" i="4"/>
  <c r="F20" i="11" s="1"/>
  <c r="F58" i="4"/>
  <c r="F36" i="11"/>
  <c r="F55" i="4"/>
  <c r="F54" i="4"/>
  <c r="E23" i="4"/>
  <c r="F70" i="4"/>
  <c r="F67" i="4"/>
  <c r="G67" i="4"/>
  <c r="E59" i="4"/>
  <c r="E61" i="4" s="1"/>
  <c r="E63" i="4" s="1"/>
  <c r="K64" i="11"/>
  <c r="K67" i="11"/>
  <c r="L67" i="11"/>
  <c r="H13" i="4" l="1"/>
  <c r="H32" i="11" s="1"/>
  <c r="I62" i="4"/>
  <c r="I14" i="4"/>
  <c r="H33" i="11"/>
  <c r="F33" i="11"/>
  <c r="F32" i="11"/>
  <c r="E66" i="4"/>
  <c r="E68" i="4"/>
  <c r="E55" i="11" s="1"/>
  <c r="E56" i="11" s="1"/>
  <c r="E52" i="11"/>
  <c r="E36" i="4"/>
  <c r="I32" i="4"/>
  <c r="I53" i="4"/>
  <c r="I33" i="4"/>
  <c r="I21" i="4"/>
  <c r="I28" i="4"/>
  <c r="I12" i="4"/>
  <c r="I36" i="11" s="1"/>
  <c r="I19" i="4"/>
  <c r="I16" i="4"/>
  <c r="I43" i="4"/>
  <c r="I29" i="4"/>
  <c r="I18" i="4"/>
  <c r="I17" i="4"/>
  <c r="I13" i="4" s="1"/>
  <c r="I38" i="4"/>
  <c r="K38" i="4" s="1"/>
  <c r="I30" i="4"/>
  <c r="I27" i="4"/>
  <c r="I39" i="4"/>
  <c r="I26" i="4"/>
  <c r="I15" i="4"/>
  <c r="I31" i="4"/>
  <c r="I20" i="4"/>
  <c r="I41" i="4"/>
  <c r="I22" i="4"/>
  <c r="I40" i="4"/>
  <c r="F30" i="11"/>
  <c r="H56" i="4"/>
  <c r="H50" i="11"/>
  <c r="H75" i="4"/>
  <c r="H59" i="4"/>
  <c r="H61" i="4" s="1"/>
  <c r="H86" i="4"/>
  <c r="I70" i="4"/>
  <c r="I87" i="4"/>
  <c r="I58" i="4"/>
  <c r="I90" i="4"/>
  <c r="I67" i="4"/>
  <c r="I49" i="4"/>
  <c r="I82" i="4"/>
  <c r="I57" i="4"/>
  <c r="I80" i="4"/>
  <c r="I54" i="4"/>
  <c r="I84" i="4"/>
  <c r="J6" i="4"/>
  <c r="I85" i="4"/>
  <c r="I50" i="4"/>
  <c r="I102" i="4"/>
  <c r="I65" i="4"/>
  <c r="I7" i="4"/>
  <c r="I88" i="4"/>
  <c r="I94" i="4"/>
  <c r="I99" i="4"/>
  <c r="I91" i="4"/>
  <c r="I76" i="4"/>
  <c r="I89" i="4"/>
  <c r="I83" i="4"/>
  <c r="I39" i="11" s="1"/>
  <c r="I81" i="4"/>
  <c r="I38" i="11" s="1"/>
  <c r="I55" i="4"/>
  <c r="I60" i="4"/>
  <c r="I96" i="4"/>
  <c r="I92" i="4"/>
  <c r="H42" i="4"/>
  <c r="H25" i="4"/>
  <c r="H34" i="4"/>
  <c r="H35" i="11"/>
  <c r="H51" i="4"/>
  <c r="H52" i="4" s="1"/>
  <c r="H27" i="11" s="1"/>
  <c r="H44" i="11"/>
  <c r="H93" i="4"/>
  <c r="H97" i="4"/>
  <c r="H100" i="4" s="1"/>
  <c r="H103" i="4" s="1"/>
  <c r="H78" i="4"/>
  <c r="H23" i="4"/>
  <c r="E49" i="11"/>
  <c r="E46" i="11"/>
  <c r="E47" i="11" s="1"/>
  <c r="E26" i="11"/>
  <c r="F61" i="11"/>
  <c r="E37" i="11"/>
  <c r="F44" i="11"/>
  <c r="F45" i="11" s="1"/>
  <c r="F51" i="4"/>
  <c r="F52" i="4" s="1"/>
  <c r="F27" i="11" s="1"/>
  <c r="E71" i="4"/>
  <c r="E51" i="11"/>
  <c r="F35" i="11"/>
  <c r="G90" i="4"/>
  <c r="E31" i="11"/>
  <c r="E40" i="11" s="1"/>
  <c r="F48" i="11"/>
  <c r="F75" i="4"/>
  <c r="F50" i="11"/>
  <c r="F78" i="4"/>
  <c r="E77" i="4"/>
  <c r="E79" i="4" s="1"/>
  <c r="G82" i="4"/>
  <c r="G87" i="4"/>
  <c r="G94" i="4"/>
  <c r="G57" i="4"/>
  <c r="G85" i="4"/>
  <c r="G91" i="4"/>
  <c r="G60" i="4"/>
  <c r="F24" i="11"/>
  <c r="G83" i="4"/>
  <c r="G39" i="11" s="1"/>
  <c r="G88" i="4"/>
  <c r="G58" i="4"/>
  <c r="G81" i="4"/>
  <c r="G38" i="11" s="1"/>
  <c r="G7" i="4"/>
  <c r="G20" i="11" s="1"/>
  <c r="G55" i="4"/>
  <c r="G54" i="4"/>
  <c r="G80" i="4"/>
  <c r="G84" i="4"/>
  <c r="G76" i="4"/>
  <c r="G89" i="4"/>
  <c r="G65" i="4"/>
  <c r="H30" i="11"/>
  <c r="G49" i="4"/>
  <c r="G70" i="4"/>
  <c r="G92" i="4"/>
  <c r="F93" i="4"/>
  <c r="F97" i="4"/>
  <c r="F100" i="4" s="1"/>
  <c r="F103" i="4" s="1"/>
  <c r="G96" i="4"/>
  <c r="G99" i="4"/>
  <c r="G102" i="4"/>
  <c r="F59" i="4"/>
  <c r="F31" i="11" s="1"/>
  <c r="F40" i="11" s="1"/>
  <c r="F23" i="4"/>
  <c r="F34" i="4"/>
  <c r="F86" i="4"/>
  <c r="F25" i="4"/>
  <c r="F42" i="4"/>
  <c r="F56" i="4"/>
  <c r="F29" i="11" s="1"/>
  <c r="H24" i="11" l="1"/>
  <c r="G32" i="11"/>
  <c r="G33" i="11"/>
  <c r="J14" i="4"/>
  <c r="J28" i="4"/>
  <c r="J27" i="4"/>
  <c r="J17" i="4"/>
  <c r="H71" i="4"/>
  <c r="H63" i="4"/>
  <c r="J62" i="4"/>
  <c r="J57" i="4"/>
  <c r="J53" i="4"/>
  <c r="J55" i="4"/>
  <c r="H36" i="4"/>
  <c r="I48" i="11"/>
  <c r="K6" i="4"/>
  <c r="J32" i="4"/>
  <c r="J43" i="4"/>
  <c r="J29" i="4"/>
  <c r="J18" i="4"/>
  <c r="K18" i="4" s="1"/>
  <c r="J15" i="4"/>
  <c r="J19" i="4"/>
  <c r="J33" i="4"/>
  <c r="K33" i="4" s="1"/>
  <c r="L33" i="4" s="1"/>
  <c r="J21" i="4"/>
  <c r="J39" i="4"/>
  <c r="K39" i="4" s="1"/>
  <c r="L39" i="4" s="1"/>
  <c r="J26" i="4"/>
  <c r="K26" i="4" s="1"/>
  <c r="L26" i="4" s="1"/>
  <c r="J22" i="4"/>
  <c r="J16" i="4"/>
  <c r="J31" i="4"/>
  <c r="J20" i="4"/>
  <c r="J41" i="4"/>
  <c r="J38" i="4"/>
  <c r="J30" i="4"/>
  <c r="K30" i="4" s="1"/>
  <c r="J40" i="4"/>
  <c r="K40" i="4" s="1"/>
  <c r="L40" i="4" s="1"/>
  <c r="G30" i="11"/>
  <c r="H29" i="11"/>
  <c r="I35" i="11"/>
  <c r="H37" i="11"/>
  <c r="H48" i="11"/>
  <c r="H49" i="11" s="1"/>
  <c r="H31" i="11"/>
  <c r="H40" i="11" s="1"/>
  <c r="F28" i="11"/>
  <c r="F34" i="11"/>
  <c r="E28" i="11"/>
  <c r="E34" i="11"/>
  <c r="J94" i="4"/>
  <c r="J50" i="4"/>
  <c r="J92" i="4"/>
  <c r="J76" i="4"/>
  <c r="J84" i="4"/>
  <c r="J65" i="4"/>
  <c r="J82" i="4"/>
  <c r="J70" i="4"/>
  <c r="J99" i="4"/>
  <c r="J58" i="4"/>
  <c r="J88" i="4"/>
  <c r="J49" i="4"/>
  <c r="J81" i="4"/>
  <c r="J38" i="11" s="1"/>
  <c r="J60" i="4"/>
  <c r="J80" i="4"/>
  <c r="J96" i="4"/>
  <c r="J7" i="4"/>
  <c r="J36" i="11"/>
  <c r="J91" i="4"/>
  <c r="J87" i="4"/>
  <c r="J85" i="4"/>
  <c r="J54" i="4"/>
  <c r="J83" i="4"/>
  <c r="J39" i="11" s="1"/>
  <c r="J90" i="4"/>
  <c r="J67" i="4"/>
  <c r="J89" i="4"/>
  <c r="I78" i="4"/>
  <c r="H77" i="4"/>
  <c r="H79" i="4" s="1"/>
  <c r="H46" i="11"/>
  <c r="H47" i="11" s="1"/>
  <c r="H26" i="11"/>
  <c r="I44" i="11"/>
  <c r="I45" i="11" s="1"/>
  <c r="I24" i="11"/>
  <c r="I51" i="4"/>
  <c r="I52" i="4" s="1"/>
  <c r="I27" i="11" s="1"/>
  <c r="I86" i="4"/>
  <c r="I93" i="4"/>
  <c r="I97" i="4"/>
  <c r="I100" i="4" s="1"/>
  <c r="I23" i="4"/>
  <c r="I42" i="4"/>
  <c r="H51" i="11"/>
  <c r="F36" i="4"/>
  <c r="I50" i="11"/>
  <c r="I75" i="4"/>
  <c r="I59" i="4"/>
  <c r="I61" i="4" s="1"/>
  <c r="I63" i="4" s="1"/>
  <c r="I56" i="4"/>
  <c r="I34" i="4"/>
  <c r="I25" i="4"/>
  <c r="G25" i="4"/>
  <c r="F46" i="11"/>
  <c r="F47" i="11" s="1"/>
  <c r="F26" i="11"/>
  <c r="G44" i="11"/>
  <c r="G45" i="11" s="1"/>
  <c r="G51" i="4"/>
  <c r="G52" i="4" s="1"/>
  <c r="G27" i="11" s="1"/>
  <c r="G61" i="11"/>
  <c r="E53" i="11"/>
  <c r="G23" i="4"/>
  <c r="G34" i="4"/>
  <c r="F61" i="4"/>
  <c r="F63" i="4" s="1"/>
  <c r="G35" i="11"/>
  <c r="G36" i="11"/>
  <c r="G93" i="4"/>
  <c r="G48" i="11"/>
  <c r="F77" i="4"/>
  <c r="F79" i="4" s="1"/>
  <c r="G75" i="4"/>
  <c r="G50" i="11"/>
  <c r="G42" i="4"/>
  <c r="G97" i="4"/>
  <c r="G100" i="4" s="1"/>
  <c r="G86" i="4"/>
  <c r="G78" i="4"/>
  <c r="G59" i="4"/>
  <c r="G61" i="4" s="1"/>
  <c r="G56" i="4"/>
  <c r="G29" i="11" s="1"/>
  <c r="G24" i="11"/>
  <c r="H45" i="11" l="1"/>
  <c r="K15" i="4"/>
  <c r="L15" i="4" s="1"/>
  <c r="J25" i="4"/>
  <c r="J34" i="4"/>
  <c r="K7" i="4"/>
  <c r="K20" i="11" s="1"/>
  <c r="L6" i="4"/>
  <c r="M6" i="4" s="1"/>
  <c r="N6" i="4" s="1"/>
  <c r="O6" i="4" s="1"/>
  <c r="P6" i="4" s="1"/>
  <c r="P7" i="4" s="1"/>
  <c r="P20" i="11" s="1"/>
  <c r="J13" i="4"/>
  <c r="F66" i="4"/>
  <c r="F52" i="11"/>
  <c r="F68" i="4"/>
  <c r="F55" i="11" s="1"/>
  <c r="F56" i="11" s="1"/>
  <c r="H66" i="4"/>
  <c r="H68" i="4"/>
  <c r="H55" i="11" s="1"/>
  <c r="H56" i="11" s="1"/>
  <c r="H52" i="11"/>
  <c r="H53" i="11" s="1"/>
  <c r="I52" i="11"/>
  <c r="I53" i="11" s="1"/>
  <c r="I66" i="4"/>
  <c r="I68" i="4"/>
  <c r="I55" i="11" s="1"/>
  <c r="I56" i="11" s="1"/>
  <c r="L19" i="4"/>
  <c r="M19" i="4" s="1"/>
  <c r="N19" i="4" s="1"/>
  <c r="O19" i="4" s="1"/>
  <c r="P19" i="4" s="1"/>
  <c r="Q19" i="4" s="1"/>
  <c r="K19" i="4"/>
  <c r="G71" i="4"/>
  <c r="G63" i="4"/>
  <c r="K31" i="4"/>
  <c r="L31" i="4" s="1"/>
  <c r="M31" i="4" s="1"/>
  <c r="N31" i="4" s="1"/>
  <c r="O31" i="4" s="1"/>
  <c r="P31" i="4" s="1"/>
  <c r="Q31" i="4" s="1"/>
  <c r="K24" i="11"/>
  <c r="K49" i="4" s="1"/>
  <c r="K25" i="11" s="1"/>
  <c r="K32" i="4"/>
  <c r="L32" i="4" s="1"/>
  <c r="M32" i="4" s="1"/>
  <c r="N32" i="4" s="1"/>
  <c r="O32" i="4" s="1"/>
  <c r="P32" i="4" s="1"/>
  <c r="Q32" i="4" s="1"/>
  <c r="L21" i="4"/>
  <c r="M21" i="4" s="1"/>
  <c r="N21" i="4" s="1"/>
  <c r="O21" i="4" s="1"/>
  <c r="P21" i="4" s="1"/>
  <c r="Q21" i="4" s="1"/>
  <c r="K21" i="4"/>
  <c r="L22" i="4"/>
  <c r="M22" i="4" s="1"/>
  <c r="N22" i="4" s="1"/>
  <c r="O22" i="4" s="1"/>
  <c r="P22" i="4" s="1"/>
  <c r="Q22" i="4" s="1"/>
  <c r="K22" i="4"/>
  <c r="I103" i="4"/>
  <c r="K19" i="11"/>
  <c r="I36" i="4"/>
  <c r="H28" i="11"/>
  <c r="H34" i="11"/>
  <c r="I49" i="11"/>
  <c r="I51" i="11"/>
  <c r="J50" i="11"/>
  <c r="H9" i="11" s="1"/>
  <c r="J75" i="4"/>
  <c r="J59" i="4"/>
  <c r="J61" i="4" s="1"/>
  <c r="J56" i="4"/>
  <c r="I71" i="4"/>
  <c r="I28" i="11"/>
  <c r="I46" i="11"/>
  <c r="I47" i="11" s="1"/>
  <c r="I26" i="11"/>
  <c r="I31" i="11"/>
  <c r="I40" i="11" s="1"/>
  <c r="J97" i="4"/>
  <c r="J100" i="4" s="1"/>
  <c r="J93" i="4"/>
  <c r="I37" i="11"/>
  <c r="J48" i="11"/>
  <c r="H12" i="11" s="1"/>
  <c r="J51" i="4"/>
  <c r="J44" i="11"/>
  <c r="J45" i="11" s="1"/>
  <c r="J24" i="11"/>
  <c r="J25" i="11"/>
  <c r="P19" i="11"/>
  <c r="Q6" i="4"/>
  <c r="J23" i="4"/>
  <c r="J42" i="4"/>
  <c r="J86" i="4"/>
  <c r="J35" i="11"/>
  <c r="K35" i="11" s="1"/>
  <c r="I77" i="4"/>
  <c r="I79" i="4" s="1"/>
  <c r="J78" i="4"/>
  <c r="G36" i="4"/>
  <c r="F71" i="4"/>
  <c r="G46" i="11"/>
  <c r="G47" i="11" s="1"/>
  <c r="G26" i="11"/>
  <c r="G103" i="4"/>
  <c r="F37" i="11"/>
  <c r="G37" i="11"/>
  <c r="G31" i="11"/>
  <c r="G40" i="11" s="1"/>
  <c r="G77" i="4"/>
  <c r="G79" i="4" s="1"/>
  <c r="D15" i="11"/>
  <c r="K44" i="11" l="1"/>
  <c r="J103" i="4"/>
  <c r="K96" i="4"/>
  <c r="G66" i="4"/>
  <c r="G68" i="4"/>
  <c r="G55" i="11" s="1"/>
  <c r="G56" i="11" s="1"/>
  <c r="G52" i="11"/>
  <c r="L24" i="11"/>
  <c r="L49" i="4" s="1"/>
  <c r="L25" i="11" s="1"/>
  <c r="J37" i="11"/>
  <c r="J63" i="4"/>
  <c r="J52" i="4"/>
  <c r="G28" i="11"/>
  <c r="G34" i="11"/>
  <c r="J31" i="11"/>
  <c r="J40" i="11" s="1"/>
  <c r="J77" i="4"/>
  <c r="J79" i="4" s="1"/>
  <c r="J36" i="4"/>
  <c r="J71" i="4"/>
  <c r="J26" i="11"/>
  <c r="K26" i="11" s="1"/>
  <c r="L26" i="11" s="1"/>
  <c r="M26" i="11" s="1"/>
  <c r="O26" i="11" s="1"/>
  <c r="P26" i="11" s="1"/>
  <c r="Q26" i="11" s="1"/>
  <c r="J46" i="11"/>
  <c r="J47" i="11" s="1"/>
  <c r="J49" i="11"/>
  <c r="J51" i="11"/>
  <c r="Q7" i="4"/>
  <c r="Q20" i="11" s="1"/>
  <c r="Q19" i="11"/>
  <c r="K27" i="11" l="1"/>
  <c r="K28" i="11" s="1"/>
  <c r="K45" i="11"/>
  <c r="J27" i="11"/>
  <c r="J28" i="11" s="1"/>
  <c r="J52" i="11"/>
  <c r="J68" i="4"/>
  <c r="J55" i="11" s="1"/>
  <c r="J56" i="11" s="1"/>
  <c r="J66" i="4"/>
  <c r="K37" i="11"/>
  <c r="L37" i="11" s="1"/>
  <c r="M37" i="11" s="1"/>
  <c r="N37" i="11" s="1"/>
  <c r="O37" i="11" s="1"/>
  <c r="P37" i="11" s="1"/>
  <c r="Q37" i="11" s="1"/>
  <c r="H73" i="11"/>
  <c r="K73" i="11"/>
  <c r="G73" i="11"/>
  <c r="I73" i="11"/>
  <c r="J73" i="11"/>
  <c r="F73" i="11"/>
  <c r="E73" i="11"/>
  <c r="B2" i="12"/>
  <c r="B2" i="6"/>
  <c r="D10" i="11"/>
  <c r="D66" i="11" s="1"/>
  <c r="B2" i="1"/>
  <c r="B2" i="11"/>
  <c r="J53" i="11" l="1"/>
  <c r="H15" i="11"/>
  <c r="E68" i="11"/>
  <c r="K68" i="11"/>
  <c r="J68" i="11"/>
  <c r="H68" i="11"/>
  <c r="G68" i="11"/>
  <c r="F68" i="11"/>
  <c r="I68" i="11"/>
  <c r="L68" i="11" l="1"/>
  <c r="B2" i="4"/>
  <c r="D4" i="4"/>
  <c r="D21" i="1" l="1"/>
  <c r="L38" i="4" l="1"/>
  <c r="M39" i="4"/>
  <c r="N39" i="4" s="1"/>
  <c r="O39" i="4" s="1"/>
  <c r="P39" i="4" s="1"/>
  <c r="Q39" i="4" s="1"/>
  <c r="M40" i="4"/>
  <c r="N40" i="4" s="1"/>
  <c r="O40" i="4" s="1"/>
  <c r="P40" i="4" s="1"/>
  <c r="Q40" i="4" s="1"/>
  <c r="M33" i="4"/>
  <c r="N33" i="4" s="1"/>
  <c r="O33" i="4" s="1"/>
  <c r="P33" i="4" s="1"/>
  <c r="Q33" i="4" s="1"/>
  <c r="M26" i="4"/>
  <c r="N26" i="4" s="1"/>
  <c r="O26" i="4" s="1"/>
  <c r="P26" i="4" s="1"/>
  <c r="Q26" i="4" s="1"/>
  <c r="L30" i="4"/>
  <c r="M30" i="4" s="1"/>
  <c r="N30" i="4" s="1"/>
  <c r="O30" i="4" s="1"/>
  <c r="P30" i="4" s="1"/>
  <c r="Q30" i="4" s="1"/>
  <c r="L18" i="4"/>
  <c r="M18" i="4" s="1"/>
  <c r="N18" i="4" s="1"/>
  <c r="O18" i="4" s="1"/>
  <c r="P18" i="4" s="1"/>
  <c r="Q18" i="4" s="1"/>
  <c r="H19" i="11"/>
  <c r="M15" i="4"/>
  <c r="N15" i="4" s="1"/>
  <c r="O15" i="4" s="1"/>
  <c r="P15" i="4" s="1"/>
  <c r="Q15" i="4" s="1"/>
  <c r="D22" i="1"/>
  <c r="D23" i="1" s="1"/>
  <c r="M38" i="4" l="1"/>
  <c r="N38" i="4" s="1"/>
  <c r="O38" i="4" s="1"/>
  <c r="P38" i="4" s="1"/>
  <c r="Q38" i="4"/>
  <c r="I19" i="11" l="1"/>
  <c r="J19" i="11"/>
  <c r="I20" i="11"/>
  <c r="I32" i="11" l="1"/>
  <c r="I33" i="11"/>
  <c r="I29" i="11"/>
  <c r="I30" i="11"/>
  <c r="I34" i="11"/>
  <c r="J20" i="11"/>
  <c r="J33" i="11" l="1"/>
  <c r="K33" i="11" s="1"/>
  <c r="J32" i="11"/>
  <c r="J29" i="11"/>
  <c r="K29" i="11" s="1"/>
  <c r="K56" i="4" s="1"/>
  <c r="K77" i="4" s="1"/>
  <c r="J30" i="11"/>
  <c r="J34" i="11"/>
  <c r="K34" i="11" s="1"/>
  <c r="L19" i="11"/>
  <c r="M19" i="11"/>
  <c r="P29" i="11" l="1"/>
  <c r="Q29" i="11"/>
  <c r="O29" i="11"/>
  <c r="L29" i="11"/>
  <c r="M29" i="11"/>
  <c r="N29" i="11"/>
  <c r="L33" i="11"/>
  <c r="K14" i="4"/>
  <c r="K32" i="11"/>
  <c r="L34" i="11"/>
  <c r="M34" i="11" s="1"/>
  <c r="N34" i="11" s="1"/>
  <c r="O34" i="11" s="1"/>
  <c r="P34" i="11" s="1"/>
  <c r="Q34" i="11" s="1"/>
  <c r="M7" i="4"/>
  <c r="M20" i="11" s="1"/>
  <c r="M33" i="11" l="1"/>
  <c r="N33" i="11" s="1"/>
  <c r="O33" i="11" s="1"/>
  <c r="P33" i="11" s="1"/>
  <c r="Q33" i="11" s="1"/>
  <c r="L14" i="4"/>
  <c r="L32" i="11"/>
  <c r="M32" i="11" s="1"/>
  <c r="N32" i="11" s="1"/>
  <c r="O32" i="11" s="1"/>
  <c r="P32" i="11" s="1"/>
  <c r="Q32" i="11" s="1"/>
  <c r="K13" i="4"/>
  <c r="N19" i="11"/>
  <c r="N7" i="4"/>
  <c r="N20" i="11" s="1"/>
  <c r="O19" i="11" l="1"/>
  <c r="J70" i="11" s="1"/>
  <c r="O7" i="4"/>
  <c r="O20" i="11" s="1"/>
  <c r="G70" i="11" l="1"/>
  <c r="E70" i="11"/>
  <c r="F70" i="11"/>
  <c r="H70" i="11"/>
  <c r="L70" i="11"/>
  <c r="I70" i="11"/>
  <c r="K70" i="11"/>
  <c r="E62" i="11"/>
  <c r="E58" i="11"/>
  <c r="F62" i="11"/>
  <c r="F58" i="11"/>
  <c r="G62" i="11"/>
  <c r="G58" i="11"/>
  <c r="I13" i="12"/>
  <c r="I18" i="12" s="1"/>
  <c r="I19" i="12" s="1"/>
  <c r="E72" i="11" l="1"/>
  <c r="F49" i="11" l="1"/>
  <c r="F51" i="11"/>
  <c r="G49" i="11"/>
  <c r="H58" i="11" l="1"/>
  <c r="G51" i="11"/>
  <c r="F53" i="11"/>
  <c r="J58" i="11" l="1"/>
  <c r="I58" i="11"/>
  <c r="G53" i="11" l="1"/>
  <c r="E7" i="6" l="1"/>
  <c r="H61" i="11" l="1"/>
  <c r="I61" i="11"/>
  <c r="J61" i="11"/>
  <c r="H62" i="11"/>
  <c r="I62" i="11"/>
  <c r="J62" i="11"/>
  <c r="M24" i="11" l="1"/>
  <c r="L44" i="11" l="1"/>
  <c r="L13" i="4"/>
  <c r="L27" i="11" l="1"/>
  <c r="L45" i="11"/>
  <c r="M49" i="4"/>
  <c r="L87" i="4"/>
  <c r="M14" i="4" l="1"/>
  <c r="M25" i="11"/>
  <c r="M44" i="11"/>
  <c r="N49" i="4"/>
  <c r="M13" i="4"/>
  <c r="M27" i="11" l="1"/>
  <c r="M45" i="11"/>
  <c r="N14" i="4"/>
  <c r="N25" i="11"/>
  <c r="N13" i="4"/>
  <c r="N44" i="11"/>
  <c r="O49" i="4"/>
  <c r="M87" i="4"/>
  <c r="N27" i="11" l="1"/>
  <c r="N45" i="11"/>
  <c r="O14" i="4"/>
  <c r="O25" i="11"/>
  <c r="O44" i="11"/>
  <c r="P49" i="4"/>
  <c r="O13" i="4"/>
  <c r="N38" i="11"/>
  <c r="O27" i="11" l="1"/>
  <c r="O45" i="11"/>
  <c r="P14" i="4"/>
  <c r="P25" i="11"/>
  <c r="N81" i="4"/>
  <c r="N87" i="4" s="1"/>
  <c r="P44" i="11"/>
  <c r="Q49" i="4"/>
  <c r="P13" i="4"/>
  <c r="O38" i="11"/>
  <c r="N28" i="11"/>
  <c r="N52" i="4"/>
  <c r="N25" i="4" s="1"/>
  <c r="Q14" i="4" l="1"/>
  <c r="Q25" i="11"/>
  <c r="P27" i="11"/>
  <c r="P45" i="11"/>
  <c r="O81" i="4"/>
  <c r="O87" i="4" s="1"/>
  <c r="N28" i="4"/>
  <c r="Q44" i="11"/>
  <c r="Q13" i="4"/>
  <c r="O52" i="4"/>
  <c r="O25" i="4" s="1"/>
  <c r="O76" i="4" s="1"/>
  <c r="I74" i="11" s="1"/>
  <c r="O28" i="11"/>
  <c r="P38" i="11"/>
  <c r="Q27" i="11" l="1"/>
  <c r="Q45" i="11"/>
  <c r="P81" i="4"/>
  <c r="P87" i="4" s="1"/>
  <c r="Q38" i="11"/>
  <c r="P52" i="4"/>
  <c r="P25" i="4" s="1"/>
  <c r="P76" i="4" s="1"/>
  <c r="J74" i="11" s="1"/>
  <c r="P28" i="11"/>
  <c r="O28" i="4"/>
  <c r="Q81" i="4" l="1"/>
  <c r="Q87" i="4" s="1"/>
  <c r="Q52" i="4"/>
  <c r="Q25" i="4" s="1"/>
  <c r="Q76" i="4" s="1"/>
  <c r="K74" i="11" s="1"/>
  <c r="Q28" i="11"/>
  <c r="P28" i="4"/>
  <c r="Q28" i="4" l="1"/>
  <c r="L50" i="4" l="1"/>
  <c r="L51" i="4" s="1"/>
  <c r="K50" i="4"/>
  <c r="K51" i="4" s="1"/>
  <c r="K46" i="11" l="1"/>
  <c r="K47" i="11" s="1"/>
  <c r="L46" i="11"/>
  <c r="L47" i="11" s="1"/>
  <c r="M50" i="4"/>
  <c r="M51" i="4" s="1"/>
  <c r="P50" i="4" l="1"/>
  <c r="P51" i="4" s="1"/>
  <c r="N50" i="4"/>
  <c r="N51" i="4" s="1"/>
  <c r="M46" i="11"/>
  <c r="M47" i="11" s="1"/>
  <c r="Q50" i="4"/>
  <c r="Q51" i="4" s="1"/>
  <c r="O50" i="4"/>
  <c r="O51" i="4" s="1"/>
  <c r="Q55" i="4" l="1"/>
  <c r="P46" i="11"/>
  <c r="P47" i="11" s="1"/>
  <c r="O46" i="11"/>
  <c r="O47" i="11" s="1"/>
  <c r="Q46" i="11"/>
  <c r="Q47" i="11" s="1"/>
  <c r="N46" i="11"/>
  <c r="N47" i="11" s="1"/>
  <c r="N55" i="4" l="1"/>
  <c r="N48" i="11" s="1"/>
  <c r="O55" i="4"/>
  <c r="O48" i="11" s="1"/>
  <c r="O49" i="11" s="1"/>
  <c r="P55" i="4"/>
  <c r="P48" i="11" s="1"/>
  <c r="P49" i="11" s="1"/>
  <c r="Q48" i="11"/>
  <c r="Q49" i="11" s="1"/>
  <c r="N49" i="11" l="1"/>
  <c r="L52" i="4"/>
  <c r="K52" i="4"/>
  <c r="K25" i="4" s="1"/>
  <c r="K76" i="4" s="1"/>
  <c r="E74" i="11" s="1"/>
  <c r="K55" i="4" l="1"/>
  <c r="K48" i="11" s="1"/>
  <c r="L55" i="4"/>
  <c r="L25" i="4"/>
  <c r="L76" i="4" s="1"/>
  <c r="F74" i="11" s="1"/>
  <c r="L28" i="11"/>
  <c r="K49" i="11" l="1"/>
  <c r="H13" i="11"/>
  <c r="M28" i="11"/>
  <c r="M52" i="4"/>
  <c r="L48" i="11"/>
  <c r="H14" i="11" s="1"/>
  <c r="L28" i="4"/>
  <c r="L49" i="11" l="1"/>
  <c r="M25" i="4"/>
  <c r="M55" i="4"/>
  <c r="M76" i="4" l="1"/>
  <c r="G74" i="11" s="1"/>
  <c r="N76" i="4"/>
  <c r="H74" i="11" s="1"/>
  <c r="M28" i="4"/>
  <c r="M48" i="11"/>
  <c r="M49" i="11" l="1"/>
  <c r="K57" i="4" l="1"/>
  <c r="K75" i="4" l="1"/>
  <c r="E69" i="11"/>
  <c r="E71" i="11" s="1"/>
  <c r="K50" i="11"/>
  <c r="L30" i="11"/>
  <c r="M30" i="11" s="1"/>
  <c r="N30" i="11" s="1"/>
  <c r="O30" i="11" s="1"/>
  <c r="P30" i="11" s="1"/>
  <c r="Q30" i="11" s="1"/>
  <c r="E12" i="12"/>
  <c r="I21" i="12" s="1"/>
  <c r="I22" i="12" s="1"/>
  <c r="I24" i="12" s="1"/>
  <c r="I25" i="12" s="1"/>
  <c r="D8" i="11" s="1"/>
  <c r="K58" i="11" l="1"/>
  <c r="H10" i="11"/>
  <c r="K51" i="11"/>
  <c r="K81" i="4" l="1"/>
  <c r="K20" i="4" s="1"/>
  <c r="K87" i="4" l="1"/>
  <c r="L56" i="4"/>
  <c r="F72" i="11" s="1"/>
  <c r="L20" i="4" l="1"/>
  <c r="M56" i="4" s="1"/>
  <c r="L77" i="4"/>
  <c r="L57" i="4"/>
  <c r="M77" i="4" l="1"/>
  <c r="G72" i="11"/>
  <c r="L75" i="4"/>
  <c r="F69" i="11"/>
  <c r="F71" i="11" s="1"/>
  <c r="L50" i="11"/>
  <c r="H11" i="11" s="1"/>
  <c r="M57" i="4"/>
  <c r="M20" i="4"/>
  <c r="M75" i="4" l="1"/>
  <c r="G69" i="11"/>
  <c r="G71" i="11" s="1"/>
  <c r="L51" i="11"/>
  <c r="L58" i="11"/>
  <c r="N56" i="4"/>
  <c r="M50" i="11"/>
  <c r="N77" i="4" l="1"/>
  <c r="H72" i="11"/>
  <c r="M58" i="11"/>
  <c r="M51" i="11"/>
  <c r="N57" i="4"/>
  <c r="N20" i="4"/>
  <c r="N75" i="4" l="1"/>
  <c r="H69" i="11"/>
  <c r="H71" i="11" s="1"/>
  <c r="O56" i="4"/>
  <c r="N50" i="11"/>
  <c r="O77" i="4" l="1"/>
  <c r="I72" i="11"/>
  <c r="O57" i="4"/>
  <c r="N58" i="11"/>
  <c r="N51" i="11"/>
  <c r="O20" i="4"/>
  <c r="O75" i="4" l="1"/>
  <c r="I69" i="11"/>
  <c r="I71" i="11" s="1"/>
  <c r="P56" i="4"/>
  <c r="J72" i="11" s="1"/>
  <c r="O50" i="11"/>
  <c r="P20" i="4" l="1"/>
  <c r="Q56" i="4" s="1"/>
  <c r="P77" i="4"/>
  <c r="O58" i="11"/>
  <c r="O51" i="11"/>
  <c r="P57" i="4"/>
  <c r="Q77" i="4" l="1"/>
  <c r="K72" i="11"/>
  <c r="P75" i="4"/>
  <c r="J69" i="11"/>
  <c r="J71" i="11" s="1"/>
  <c r="Q57" i="4"/>
  <c r="Q20" i="4"/>
  <c r="P50" i="11"/>
  <c r="Q75" i="4" l="1"/>
  <c r="K69" i="11"/>
  <c r="P58" i="11"/>
  <c r="P51" i="11"/>
  <c r="Q50" i="11"/>
  <c r="L69" i="11" l="1"/>
  <c r="L75" i="11" s="1"/>
  <c r="K71" i="11"/>
  <c r="Q58" i="11"/>
  <c r="Q51" i="11"/>
  <c r="L73" i="11" l="1"/>
  <c r="L74" i="11"/>
  <c r="L71" i="11"/>
  <c r="L72" i="11"/>
  <c r="L35" i="11"/>
  <c r="K29" i="4"/>
  <c r="M35" i="11" l="1"/>
  <c r="M29" i="4" s="1"/>
  <c r="L29" i="4"/>
  <c r="K91" i="4"/>
  <c r="K58" i="4"/>
  <c r="L91" i="4"/>
  <c r="N35" i="11"/>
  <c r="M91" i="4" l="1"/>
  <c r="M58" i="4"/>
  <c r="M93" i="4" s="1"/>
  <c r="K93" i="4"/>
  <c r="K59" i="4"/>
  <c r="K60" i="4" s="1"/>
  <c r="K78" i="4" s="1"/>
  <c r="K80" i="4" s="1"/>
  <c r="L58" i="4"/>
  <c r="L93" i="4" s="1"/>
  <c r="L34" i="4"/>
  <c r="M34" i="4"/>
  <c r="O35" i="11"/>
  <c r="N29" i="4"/>
  <c r="M59" i="4" l="1"/>
  <c r="N58" i="4"/>
  <c r="N93" i="4" s="1"/>
  <c r="N91" i="4"/>
  <c r="K61" i="4"/>
  <c r="L59" i="4"/>
  <c r="L60" i="4" s="1"/>
  <c r="L78" i="4" s="1"/>
  <c r="P35" i="11"/>
  <c r="O29" i="4"/>
  <c r="O91" i="4" s="1"/>
  <c r="M60" i="4"/>
  <c r="N34" i="4"/>
  <c r="N59" i="4" l="1"/>
  <c r="N60" i="4" s="1"/>
  <c r="M78" i="4"/>
  <c r="M80" i="4" s="1"/>
  <c r="K66" i="4"/>
  <c r="K62" i="4"/>
  <c r="E76" i="11" s="1"/>
  <c r="E77" i="11" s="1"/>
  <c r="E79" i="11" s="1"/>
  <c r="K68" i="4"/>
  <c r="K55" i="11" s="1"/>
  <c r="K56" i="11" s="1"/>
  <c r="M61" i="4"/>
  <c r="O34" i="4"/>
  <c r="O58" i="4"/>
  <c r="O93" i="4" s="1"/>
  <c r="Q35" i="11"/>
  <c r="P29" i="4"/>
  <c r="L61" i="4"/>
  <c r="K63" i="4" l="1"/>
  <c r="K92" i="4" s="1"/>
  <c r="K94" i="4" s="1"/>
  <c r="K41" i="4"/>
  <c r="M62" i="11"/>
  <c r="M61" i="11"/>
  <c r="N78" i="4"/>
  <c r="N80" i="4" s="1"/>
  <c r="P58" i="4"/>
  <c r="P93" i="4" s="1"/>
  <c r="P91" i="4"/>
  <c r="L62" i="4"/>
  <c r="Q29" i="4"/>
  <c r="Q91" i="4" s="1"/>
  <c r="N61" i="4"/>
  <c r="L68" i="4"/>
  <c r="L55" i="11" s="1"/>
  <c r="L56" i="11" s="1"/>
  <c r="L66" i="4"/>
  <c r="M68" i="4"/>
  <c r="M55" i="11" s="1"/>
  <c r="M56" i="11" s="1"/>
  <c r="M66" i="4"/>
  <c r="O59" i="4"/>
  <c r="P34" i="4"/>
  <c r="M62" i="4" l="1"/>
  <c r="G76" i="11" s="1"/>
  <c r="G77" i="11" s="1"/>
  <c r="G79" i="11" s="1"/>
  <c r="F76" i="11"/>
  <c r="F77" i="11" s="1"/>
  <c r="F79" i="11" s="1"/>
  <c r="K52" i="11"/>
  <c r="L41" i="4"/>
  <c r="K42" i="4"/>
  <c r="K43" i="4" s="1"/>
  <c r="N61" i="11"/>
  <c r="N62" i="11"/>
  <c r="P59" i="4"/>
  <c r="P60" i="4" s="1"/>
  <c r="M63" i="4"/>
  <c r="L63" i="4"/>
  <c r="O60" i="4"/>
  <c r="Q34" i="4"/>
  <c r="Q58" i="4"/>
  <c r="Q93" i="4" s="1"/>
  <c r="N68" i="4"/>
  <c r="N55" i="11" s="1"/>
  <c r="N56" i="11" s="1"/>
  <c r="N66" i="4"/>
  <c r="M41" i="4" l="1"/>
  <c r="N62" i="4"/>
  <c r="N63" i="4" s="1"/>
  <c r="H76" i="11"/>
  <c r="H77" i="11" s="1"/>
  <c r="H79" i="11" s="1"/>
  <c r="K53" i="11"/>
  <c r="H16" i="11"/>
  <c r="O78" i="4"/>
  <c r="O80" i="4" s="1"/>
  <c r="P78" i="4"/>
  <c r="P80" i="4" s="1"/>
  <c r="L52" i="11"/>
  <c r="H17" i="11" s="1"/>
  <c r="L92" i="4"/>
  <c r="L94" i="4" s="1"/>
  <c r="M52" i="11"/>
  <c r="M92" i="4"/>
  <c r="M94" i="4" s="1"/>
  <c r="M97" i="4" s="1"/>
  <c r="O61" i="4"/>
  <c r="O62" i="4" s="1"/>
  <c r="P61" i="4"/>
  <c r="Q59" i="4"/>
  <c r="N52" i="11" l="1"/>
  <c r="N53" i="11" s="1"/>
  <c r="N92" i="4"/>
  <c r="N94" i="4" s="1"/>
  <c r="N97" i="4" s="1"/>
  <c r="N41" i="4"/>
  <c r="O41" i="4" s="1"/>
  <c r="I76" i="11"/>
  <c r="I77" i="11" s="1"/>
  <c r="I79" i="11" s="1"/>
  <c r="L42" i="4"/>
  <c r="L43" i="4" s="1"/>
  <c r="P61" i="11"/>
  <c r="P62" i="11"/>
  <c r="O62" i="11"/>
  <c r="O61" i="11"/>
  <c r="L53" i="11"/>
  <c r="M53" i="11"/>
  <c r="O68" i="4"/>
  <c r="O55" i="11" s="1"/>
  <c r="O56" i="11" s="1"/>
  <c r="O66" i="4"/>
  <c r="O63" i="4"/>
  <c r="P62" i="4"/>
  <c r="P66" i="4"/>
  <c r="P68" i="4"/>
  <c r="P55" i="11" s="1"/>
  <c r="P56" i="11" s="1"/>
  <c r="Q60" i="4"/>
  <c r="M42" i="4" l="1"/>
  <c r="N42" i="4" s="1"/>
  <c r="P63" i="4"/>
  <c r="P52" i="11" s="1"/>
  <c r="P53" i="11" s="1"/>
  <c r="J76" i="11"/>
  <c r="J77" i="11" s="1"/>
  <c r="J79" i="11" s="1"/>
  <c r="Q78" i="4"/>
  <c r="Q80" i="4" s="1"/>
  <c r="O52" i="11"/>
  <c r="O53" i="11" s="1"/>
  <c r="O92" i="4"/>
  <c r="O94" i="4" s="1"/>
  <c r="O97" i="4" s="1"/>
  <c r="P41" i="4"/>
  <c r="Q61" i="4"/>
  <c r="Q62" i="4" s="1"/>
  <c r="K76" i="11" s="1"/>
  <c r="P92" i="4" l="1"/>
  <c r="P94" i="4" s="1"/>
  <c r="P97" i="4" s="1"/>
  <c r="L76" i="11"/>
  <c r="L77" i="11" s="1"/>
  <c r="L78" i="11" s="1"/>
  <c r="L79" i="11" s="1"/>
  <c r="K77" i="11"/>
  <c r="K79" i="11" s="1"/>
  <c r="O42" i="4"/>
  <c r="Q61" i="11"/>
  <c r="Q62" i="11"/>
  <c r="M43" i="4"/>
  <c r="Q41" i="4"/>
  <c r="Q68" i="4"/>
  <c r="Q55" i="11" s="1"/>
  <c r="Q56" i="11" s="1"/>
  <c r="Q63" i="4"/>
  <c r="Q66" i="4"/>
  <c r="P42" i="4" l="1"/>
  <c r="P43" i="4" s="1"/>
  <c r="C81" i="11"/>
  <c r="L9" i="11"/>
  <c r="N43" i="4"/>
  <c r="Q52" i="11"/>
  <c r="Q53" i="11" s="1"/>
  <c r="Q92" i="4"/>
  <c r="O43" i="4"/>
  <c r="K59" i="11" l="1"/>
  <c r="L59" i="11"/>
  <c r="M59" i="11"/>
  <c r="N59" i="11"/>
  <c r="I59" i="11"/>
  <c r="L14" i="11"/>
  <c r="L16" i="11" s="1"/>
  <c r="H59" i="11"/>
  <c r="E59" i="11"/>
  <c r="F59" i="11"/>
  <c r="G59" i="11"/>
  <c r="O59" i="11"/>
  <c r="J59" i="11"/>
  <c r="P59" i="11"/>
  <c r="Q59" i="11"/>
  <c r="Q94" i="4"/>
  <c r="Q97" i="4" s="1"/>
  <c r="Q42" i="4"/>
  <c r="Q43" i="4" s="1"/>
  <c r="K28" i="4"/>
  <c r="K34" i="4" s="1"/>
  <c r="P10" i="11" l="1"/>
  <c r="P11" i="11"/>
  <c r="D16" i="11"/>
  <c r="D17" i="11" s="1"/>
  <c r="P12" i="11"/>
  <c r="L80" i="4"/>
  <c r="K97" i="4"/>
  <c r="K100" i="4" s="1"/>
  <c r="L96" i="4" s="1"/>
  <c r="K62" i="11"/>
  <c r="K61" i="11"/>
  <c r="L62" i="11" l="1"/>
  <c r="L61" i="11"/>
  <c r="L97" i="4"/>
  <c r="L100" i="4" s="1"/>
  <c r="K12" i="4"/>
  <c r="K102" i="4" s="1"/>
  <c r="K103" i="4" s="1"/>
  <c r="M96" i="4" l="1"/>
  <c r="M100" i="4" s="1"/>
  <c r="N96" i="4" s="1"/>
  <c r="L12" i="4"/>
  <c r="L102" i="4" s="1"/>
  <c r="K17" i="4"/>
  <c r="K23" i="4" s="1"/>
  <c r="K36" i="11"/>
  <c r="K36" i="4" l="1"/>
  <c r="K45" i="4" s="1"/>
  <c r="K40" i="11"/>
  <c r="N100" i="4"/>
  <c r="O96" i="4" s="1"/>
  <c r="M12" i="4"/>
  <c r="L36" i="11"/>
  <c r="L17" i="4"/>
  <c r="L23" i="4" s="1"/>
  <c r="L103" i="4"/>
  <c r="L36" i="4" l="1"/>
  <c r="L45" i="4" s="1"/>
  <c r="L40" i="11"/>
  <c r="M36" i="11"/>
  <c r="M102" i="4"/>
  <c r="M103" i="4" s="1"/>
  <c r="E8" i="6" s="1"/>
  <c r="M17" i="4"/>
  <c r="M23" i="4" s="1"/>
  <c r="N12" i="4"/>
  <c r="O100" i="4"/>
  <c r="P96" i="4" s="1"/>
  <c r="M36" i="4" l="1"/>
  <c r="M45" i="4" s="1"/>
  <c r="E6" i="6" s="1"/>
  <c r="E10" i="6" s="1"/>
  <c r="B3" i="4" s="1"/>
  <c r="M40" i="11"/>
  <c r="O12" i="4"/>
  <c r="P100" i="4"/>
  <c r="Q96" i="4" s="1"/>
  <c r="N36" i="11"/>
  <c r="N102" i="4"/>
  <c r="N103" i="4" s="1"/>
  <c r="N17" i="4"/>
  <c r="N23" i="4" s="1"/>
  <c r="N36" i="4" l="1"/>
  <c r="N45" i="4" s="1"/>
  <c r="N40" i="11"/>
  <c r="B3" i="11"/>
  <c r="B3" i="12"/>
  <c r="B3" i="1"/>
  <c r="B3" i="6"/>
  <c r="P12" i="4"/>
  <c r="Q100" i="4"/>
  <c r="O36" i="11"/>
  <c r="O102" i="4"/>
  <c r="O103" i="4" s="1"/>
  <c r="O17" i="4"/>
  <c r="O23" i="4" s="1"/>
  <c r="O36" i="4" l="1"/>
  <c r="O45" i="4" s="1"/>
  <c r="O40" i="11"/>
  <c r="Q12" i="4"/>
  <c r="P102" i="4"/>
  <c r="P103" i="4" s="1"/>
  <c r="P36" i="11"/>
  <c r="P17" i="4"/>
  <c r="P23" i="4" s="1"/>
  <c r="P36" i="4" l="1"/>
  <c r="P45" i="4" s="1"/>
  <c r="P40" i="11"/>
  <c r="Q102" i="4"/>
  <c r="Q103" i="4" s="1"/>
  <c r="Q36" i="11"/>
  <c r="Q17" i="4"/>
  <c r="Q23" i="4" s="1"/>
  <c r="Q36" i="4" l="1"/>
  <c r="Q45" i="4" s="1"/>
  <c r="Q4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Moss</author>
  </authors>
  <commentList>
    <comment ref="E10" authorId="0" shapeId="0" xr:uid="{B50D12CF-7423-46FB-9FE4-A79E00D8E050}">
      <text>
        <r>
          <rPr>
            <sz val="9"/>
            <color indexed="81"/>
            <rFont val="Tahoma"/>
            <family val="2"/>
          </rPr>
          <t>https://www.marketwatch.com/investing/bond/tmbmkgb-20y?countrycode=bx</t>
        </r>
      </text>
    </comment>
    <comment ref="E11" authorId="0" shapeId="0" xr:uid="{0A4396EC-507E-4B26-A622-2DAEFE5A32FE}">
      <text>
        <r>
          <rPr>
            <sz val="9"/>
            <color indexed="81"/>
            <rFont val="Tahoma"/>
            <family val="2"/>
          </rPr>
          <t>https://pages.stern.nyu.edu/~adamodar/New_Home_Page/datafile/ctryprem.html</t>
        </r>
      </text>
    </comment>
    <comment ref="E12" authorId="0" shapeId="0" xr:uid="{1D81121B-5C15-42BB-8B58-A47BB4ECDA7A}">
      <text>
        <r>
          <rPr>
            <b/>
            <sz val="9"/>
            <color indexed="81"/>
            <rFont val="Tahoma"/>
            <family val="2"/>
          </rPr>
          <t>FY23 est. per FY22 presentation</t>
        </r>
      </text>
    </comment>
    <comment ref="E16" authorId="0" shapeId="0" xr:uid="{6DE54F95-3D7C-4997-AA5D-DEBA6D36ACAB}">
      <text>
        <r>
          <rPr>
            <sz val="9"/>
            <color indexed="81"/>
            <rFont val="Tahoma"/>
            <family val="2"/>
          </rPr>
          <t>https://www.infrontanalytics.com/fe-EN/31053EX/British-American-Tobacco-p-l-c-/Beta</t>
        </r>
      </text>
    </comment>
    <comment ref="E17" authorId="0" shapeId="0" xr:uid="{DD8E3227-1687-456B-B4E4-B05D8AF036CD}">
      <text>
        <r>
          <rPr>
            <b/>
            <sz val="9"/>
            <color indexed="81"/>
            <rFont val="Tahoma"/>
            <family val="2"/>
          </rPr>
          <t>https://aswathdamodaran.blogspot.com/2015/04/the-small-cap-premium-fact-fiction-and.html</t>
        </r>
      </text>
    </comment>
  </commentList>
</comments>
</file>

<file path=xl/sharedStrings.xml><?xml version="1.0" encoding="utf-8"?>
<sst xmlns="http://schemas.openxmlformats.org/spreadsheetml/2006/main" count="644" uniqueCount="317">
  <si>
    <t>Company name</t>
  </si>
  <si>
    <t>Ticker</t>
  </si>
  <si>
    <t>MODEL STRUCTURE</t>
  </si>
  <si>
    <t>Currency</t>
  </si>
  <si>
    <t>Company information</t>
  </si>
  <si>
    <t>Calendar</t>
  </si>
  <si>
    <t>Model date</t>
  </si>
  <si>
    <t>Q1 trading update</t>
  </si>
  <si>
    <t>Q3 trading update</t>
  </si>
  <si>
    <t>Full year results</t>
  </si>
  <si>
    <t>Half year results</t>
  </si>
  <si>
    <t>Reporting</t>
  </si>
  <si>
    <t>date</t>
  </si>
  <si>
    <t>Results</t>
  </si>
  <si>
    <t>FINANCIALS</t>
  </si>
  <si>
    <t>Date</t>
  </si>
  <si>
    <t>Trade &amp; other receivables</t>
  </si>
  <si>
    <t>Total assets</t>
  </si>
  <si>
    <t>Total liabilities</t>
  </si>
  <si>
    <t>Trade &amp; other payables</t>
  </si>
  <si>
    <t>Net assets</t>
  </si>
  <si>
    <t>Retained earnings</t>
  </si>
  <si>
    <t>Total equity</t>
  </si>
  <si>
    <t>Check</t>
  </si>
  <si>
    <t>CHECKS</t>
  </si>
  <si>
    <t>Financials - BS</t>
  </si>
  <si>
    <t>Financials - PnL</t>
  </si>
  <si>
    <t>Financials - CF</t>
  </si>
  <si>
    <t>Last HY results available</t>
  </si>
  <si>
    <t>P&amp;L</t>
  </si>
  <si>
    <t>BALANCE SHEET</t>
  </si>
  <si>
    <t>Revenue</t>
  </si>
  <si>
    <t>Cost of sales</t>
  </si>
  <si>
    <t>Gross profit</t>
  </si>
  <si>
    <t>Admin expenses exc. D&amp;A</t>
  </si>
  <si>
    <t>EBITDA</t>
  </si>
  <si>
    <t>Depreciation &amp; Amortisation</t>
  </si>
  <si>
    <t>EBIT</t>
  </si>
  <si>
    <t>Profit before tax</t>
  </si>
  <si>
    <t>Tax</t>
  </si>
  <si>
    <t>Profit for the period</t>
  </si>
  <si>
    <t>Expected value</t>
  </si>
  <si>
    <t>Months in period</t>
  </si>
  <si>
    <t>Interest expense</t>
  </si>
  <si>
    <t>CASHFLOW</t>
  </si>
  <si>
    <t>Other</t>
  </si>
  <si>
    <t>Operating profit</t>
  </si>
  <si>
    <t>Depreciation &amp; amortisation</t>
  </si>
  <si>
    <t>Tax paid</t>
  </si>
  <si>
    <t>Acquisitions</t>
  </si>
  <si>
    <t>Interest paid</t>
  </si>
  <si>
    <t>Share buyback</t>
  </si>
  <si>
    <t>Revenue growth YoY %</t>
  </si>
  <si>
    <t>Effective tax rate %</t>
  </si>
  <si>
    <t>Receivables days</t>
  </si>
  <si>
    <t>Payables days</t>
  </si>
  <si>
    <t>Dividend payout ratio %</t>
  </si>
  <si>
    <t>CAPEX spend</t>
  </si>
  <si>
    <t>WACC</t>
  </si>
  <si>
    <t>Unlevered Beta</t>
  </si>
  <si>
    <t>D/E Ratio</t>
  </si>
  <si>
    <t>Tax Rate</t>
  </si>
  <si>
    <t>Levered Beta</t>
  </si>
  <si>
    <t>Rf</t>
  </si>
  <si>
    <t>ERP</t>
  </si>
  <si>
    <t>Small Cap Premum</t>
  </si>
  <si>
    <t>Ke</t>
  </si>
  <si>
    <t>Selected Ke</t>
  </si>
  <si>
    <t>Kd</t>
  </si>
  <si>
    <t>Post-tax Kd</t>
  </si>
  <si>
    <t>Selected WACC</t>
  </si>
  <si>
    <t>Risk free rate</t>
  </si>
  <si>
    <t>Equity risk premium</t>
  </si>
  <si>
    <t>Cost of debt</t>
  </si>
  <si>
    <t>Discount Rate</t>
  </si>
  <si>
    <t>Perpetural Growth Rate</t>
  </si>
  <si>
    <t>Valuation Date</t>
  </si>
  <si>
    <t>Shares Outstanding</t>
  </si>
  <si>
    <t>Entry</t>
  </si>
  <si>
    <t>Terminal</t>
  </si>
  <si>
    <t>Year Fraction</t>
  </si>
  <si>
    <t>Less: Cash Taxes</t>
  </si>
  <si>
    <t>Plus: D&amp;A</t>
  </si>
  <si>
    <t>Less: Capex</t>
  </si>
  <si>
    <t>Less: Changes in NWC</t>
  </si>
  <si>
    <t>Market Value vs Intrinsic Value</t>
  </si>
  <si>
    <t>Unlevered FCF</t>
  </si>
  <si>
    <t>Market Value</t>
  </si>
  <si>
    <t>Intrinsic Value</t>
  </si>
  <si>
    <t>Enterprise Value</t>
  </si>
  <si>
    <t>Less: net debt</t>
  </si>
  <si>
    <t>Equity Value</t>
  </si>
  <si>
    <t>Equity Value/Share</t>
  </si>
  <si>
    <t>Inputs</t>
  </si>
  <si>
    <t>Tax rate for WACC</t>
  </si>
  <si>
    <t>Small cap premium</t>
  </si>
  <si>
    <t>Balance sheet date</t>
  </si>
  <si>
    <t>Terminal value</t>
  </si>
  <si>
    <t>Discounted cashflow</t>
  </si>
  <si>
    <t>Upside (p)</t>
  </si>
  <si>
    <t>Upside %</t>
  </si>
  <si>
    <t>30% margin of safety point</t>
  </si>
  <si>
    <t>Valuation date</t>
  </si>
  <si>
    <t>Add: non-operating assets</t>
  </si>
  <si>
    <t>Less: non-operating liabilities</t>
  </si>
  <si>
    <t>Time period fraction</t>
  </si>
  <si>
    <t>Other adj. to equity value</t>
  </si>
  <si>
    <t>Current Price (p)</t>
  </si>
  <si>
    <t>SUMMARY</t>
  </si>
  <si>
    <t>DISCOUNT RATE</t>
  </si>
  <si>
    <t>Net profit margin %</t>
  </si>
  <si>
    <t>EBITDA margin %</t>
  </si>
  <si>
    <t>Price to earnings ratio</t>
  </si>
  <si>
    <t>EBIT margin %</t>
  </si>
  <si>
    <t>EV to EBIT ratio - actual</t>
  </si>
  <si>
    <t>EV to EBIT ratio - implied by valuation</t>
  </si>
  <si>
    <t>Margin of safety</t>
  </si>
  <si>
    <t>Current share price</t>
  </si>
  <si>
    <t>Tax rate</t>
  </si>
  <si>
    <t>DCF equity value per share</t>
  </si>
  <si>
    <t>Multiples</t>
  </si>
  <si>
    <t>EV/EBITDA (Current)</t>
  </si>
  <si>
    <t>EV/EBITDA (Y+2)</t>
  </si>
  <si>
    <t>EV/EBITDA (Y+1)</t>
  </si>
  <si>
    <t>EV/EBIT (Y+2)</t>
  </si>
  <si>
    <t>EV/EBIT (Y+1)</t>
  </si>
  <si>
    <t>EV/EBIT (Current)</t>
  </si>
  <si>
    <t>P/E (Current)</t>
  </si>
  <si>
    <t>P/E (Y+1)</t>
  </si>
  <si>
    <t>P/E (Y+2)</t>
  </si>
  <si>
    <t>QUANT VALUE INVESTING</t>
  </si>
  <si>
    <t>METRICS</t>
  </si>
  <si>
    <t>SUMMARY FINANCIALS</t>
  </si>
  <si>
    <t>Year</t>
  </si>
  <si>
    <t>Turnover</t>
  </si>
  <si>
    <t>Pre-tax profit</t>
  </si>
  <si>
    <t>Post-tax profit</t>
  </si>
  <si>
    <t>Net borrowing</t>
  </si>
  <si>
    <t>NAV</t>
  </si>
  <si>
    <t>Period Ending</t>
  </si>
  <si>
    <t>Result Type</t>
  </si>
  <si>
    <t xml:space="preserve"> </t>
  </si>
  <si>
    <t>CASH FLOWS</t>
  </si>
  <si>
    <t>Net profit</t>
  </si>
  <si>
    <t>Deferred tax</t>
  </si>
  <si>
    <t>Share of associates &amp; JVs</t>
  </si>
  <si>
    <t>Change in stock</t>
  </si>
  <si>
    <t>Change in debtors</t>
  </si>
  <si>
    <t>Change in creditors</t>
  </si>
  <si>
    <t>Other changes</t>
  </si>
  <si>
    <t>Change in working capital</t>
  </si>
  <si>
    <t>Other (operating)</t>
  </si>
  <si>
    <t>Operating cash flow</t>
  </si>
  <si>
    <t>Net cash from operations</t>
  </si>
  <si>
    <t>Capital expenditure</t>
  </si>
  <si>
    <t>Sale of fixed assets</t>
  </si>
  <si>
    <t>Sale of businesses</t>
  </si>
  <si>
    <t>Purchase of investment property</t>
  </si>
  <si>
    <t>Sale of investment property</t>
  </si>
  <si>
    <t>Purchase of investment</t>
  </si>
  <si>
    <t>Sale of investment</t>
  </si>
  <si>
    <t>Other (investing)</t>
  </si>
  <si>
    <t>Net cash from investing</t>
  </si>
  <si>
    <t>New share issues</t>
  </si>
  <si>
    <t>New borrowing</t>
  </si>
  <si>
    <t>Repayment of borrowing</t>
  </si>
  <si>
    <t>Equity dividends paid</t>
  </si>
  <si>
    <t>Preferred dividends paid</t>
  </si>
  <si>
    <t>Dividends paid in cash</t>
  </si>
  <si>
    <t>Other (financing)</t>
  </si>
  <si>
    <t>Net cash from financing</t>
  </si>
  <si>
    <t>Net change in cash</t>
  </si>
  <si>
    <t>CASH BALANCE</t>
  </si>
  <si>
    <t>Opening balance</t>
  </si>
  <si>
    <t>Foreign exchange adjustments</t>
  </si>
  <si>
    <t>Closing balance</t>
  </si>
  <si>
    <t>FREE CASH FLOW</t>
  </si>
  <si>
    <t>Dividends from joint ventures</t>
  </si>
  <si>
    <t>Repayment of leases</t>
  </si>
  <si>
    <t>Other in/out flows of cash</t>
  </si>
  <si>
    <t>Free cash flow for firm (FCFf)</t>
  </si>
  <si>
    <t>Dividends paid to minorities</t>
  </si>
  <si>
    <t>Interest received</t>
  </si>
  <si>
    <t>Free cash flow (FCF)</t>
  </si>
  <si>
    <t>PER SHARE VALUES</t>
  </si>
  <si>
    <t>Operating cash flow ps (p)</t>
  </si>
  <si>
    <t>FCF ps (p)</t>
  </si>
  <si>
    <t>FCFf ps (p)</t>
  </si>
  <si>
    <t>Capex ps (p)</t>
  </si>
  <si>
    <t>ASSETS</t>
  </si>
  <si>
    <t>Debtors trade</t>
  </si>
  <si>
    <t>Debtors other</t>
  </si>
  <si>
    <t>Prepayments</t>
  </si>
  <si>
    <t>Debtors</t>
  </si>
  <si>
    <t>Debtors finance &amp; lease</t>
  </si>
  <si>
    <t>Tax assets</t>
  </si>
  <si>
    <t>Stock &amp; WIP</t>
  </si>
  <si>
    <t>Securities</t>
  </si>
  <si>
    <t>Cash &amp; equivalents</t>
  </si>
  <si>
    <t>Other current assets</t>
  </si>
  <si>
    <t>Current assets</t>
  </si>
  <si>
    <t>Goodwill</t>
  </si>
  <si>
    <t>Other intangibles</t>
  </si>
  <si>
    <t>Intangibles</t>
  </si>
  <si>
    <t>Tangibles</t>
  </si>
  <si>
    <t>Investments</t>
  </si>
  <si>
    <t>Other non-current assets</t>
  </si>
  <si>
    <t>Non-current assets</t>
  </si>
  <si>
    <t>LIABILITIES</t>
  </si>
  <si>
    <t>Short term borrowing</t>
  </si>
  <si>
    <t>Trade creditors</t>
  </si>
  <si>
    <t>Other current liabilities</t>
  </si>
  <si>
    <t>Current liabilities</t>
  </si>
  <si>
    <t>Long term borrowing</t>
  </si>
  <si>
    <t>Other provisions</t>
  </si>
  <si>
    <t>Pension liabilities</t>
  </si>
  <si>
    <t>Other non-current liabilities</t>
  </si>
  <si>
    <t>Non-current liabilities</t>
  </si>
  <si>
    <t>EQUITY</t>
  </si>
  <si>
    <t>Ordinary shares</t>
  </si>
  <si>
    <t>Preference shares</t>
  </si>
  <si>
    <t>Share capital</t>
  </si>
  <si>
    <t>Share premium</t>
  </si>
  <si>
    <t>Treasury shares</t>
  </si>
  <si>
    <t>Total retained profit</t>
  </si>
  <si>
    <t>Other reserves</t>
  </si>
  <si>
    <t>Shareholders funds (NAV)</t>
  </si>
  <si>
    <t>Minorities</t>
  </si>
  <si>
    <t>Total liabilities + equity</t>
  </si>
  <si>
    <t>BORROWING</t>
  </si>
  <si>
    <t>Long-term leases</t>
  </si>
  <si>
    <t>Long-term borrowing</t>
  </si>
  <si>
    <t>Current leases</t>
  </si>
  <si>
    <t>Current borrowing</t>
  </si>
  <si>
    <t>Total borrowing</t>
  </si>
  <si>
    <t>OTHER DETAILS</t>
  </si>
  <si>
    <t>NTAV</t>
  </si>
  <si>
    <t>NAV ps (p)</t>
  </si>
  <si>
    <t>NTAV ps (p)</t>
  </si>
  <si>
    <t>Preference consideration</t>
  </si>
  <si>
    <t>Working capital</t>
  </si>
  <si>
    <t>Pension deficit</t>
  </si>
  <si>
    <t>CONTINUOUS OPERATIONS</t>
  </si>
  <si>
    <t>Administrative expenses</t>
  </si>
  <si>
    <t>Operating profit (standardised)</t>
  </si>
  <si>
    <t>Interest paid (net)</t>
  </si>
  <si>
    <t>Other income/expense</t>
  </si>
  <si>
    <t>Taxation</t>
  </si>
  <si>
    <t>Extraordinary items</t>
  </si>
  <si>
    <t>Discontinued operations</t>
  </si>
  <si>
    <t>Profit for financial year</t>
  </si>
  <si>
    <t>EARNINGS BEFORE INTEREST &amp; TAX</t>
  </si>
  <si>
    <t>DISCONTINUED OPERATIONS</t>
  </si>
  <si>
    <t>Discontinued post-tax profit</t>
  </si>
  <si>
    <t>Dividend (announced) ps (p)</t>
  </si>
  <si>
    <t>Dividend (adjusted) ps (p)</t>
  </si>
  <si>
    <t>EPS rep. continuous (p)</t>
  </si>
  <si>
    <t>EPS rep. discontinued (p)</t>
  </si>
  <si>
    <t>EPS reported (p)</t>
  </si>
  <si>
    <t>EPS norm. continuous (p)</t>
  </si>
  <si>
    <t>NORMALISED</t>
  </si>
  <si>
    <t>COMPANY ADJUSTED</t>
  </si>
  <si>
    <t>EPS (basic) (p)</t>
  </si>
  <si>
    <t>EPS (diluted) (p)</t>
  </si>
  <si>
    <t>Number of shares</t>
  </si>
  <si>
    <t>Average shares (adjusted)</t>
  </si>
  <si>
    <t>Average shares (diluted)</t>
  </si>
  <si>
    <t>Research &amp; development</t>
  </si>
  <si>
    <t>Rental &amp; lease expense</t>
  </si>
  <si>
    <t>Stock based compensation</t>
  </si>
  <si>
    <t>Number of employees</t>
  </si>
  <si>
    <t>Tax rate %</t>
  </si>
  <si>
    <t>Market capitalisation</t>
  </si>
  <si>
    <t>Enterprise value</t>
  </si>
  <si>
    <t>Revenue growth 5yr CAGR</t>
  </si>
  <si>
    <t>Interest expense (as % avg. borrowings)</t>
  </si>
  <si>
    <t>Total borrowings</t>
  </si>
  <si>
    <t>Cash</t>
  </si>
  <si>
    <t>Diluted EPS ($)</t>
  </si>
  <si>
    <t>Q4 IFRS</t>
  </si>
  <si>
    <t>Profit on disposals</t>
  </si>
  <si>
    <t>Interest paid CFO</t>
  </si>
  <si>
    <t>Interest received CFO</t>
  </si>
  <si>
    <t>Dividend paid CFO</t>
  </si>
  <si>
    <t>Dividend received CFO</t>
  </si>
  <si>
    <t>New leases</t>
  </si>
  <si>
    <t>Associates &amp; joint ventures</t>
  </si>
  <si>
    <t>Accruals</t>
  </si>
  <si>
    <t>Gross profit margin</t>
  </si>
  <si>
    <t>Depreciation &amp; amortisation (as % y-1 PPE)</t>
  </si>
  <si>
    <t>Acquisition spend</t>
  </si>
  <si>
    <t>Basic EPS (p)</t>
  </si>
  <si>
    <t>Diluted EPS (p)</t>
  </si>
  <si>
    <t>Market capitalisation (£m)</t>
  </si>
  <si>
    <t>Share price (p)</t>
  </si>
  <si>
    <t>£m</t>
  </si>
  <si>
    <t>GP margin</t>
  </si>
  <si>
    <t>YoY growth %</t>
  </si>
  <si>
    <t>EV/FCFF</t>
  </si>
  <si>
    <t>FCFF</t>
  </si>
  <si>
    <t>Q2 IFRS</t>
  </si>
  <si>
    <t>Opex (as % revenue)</t>
  </si>
  <si>
    <t>Opex</t>
  </si>
  <si>
    <t xml:space="preserve">  </t>
  </si>
  <si>
    <t>ROIC %</t>
  </si>
  <si>
    <t>EV</t>
  </si>
  <si>
    <t>Q1 IFRS</t>
  </si>
  <si>
    <t>Q3 IFRS</t>
  </si>
  <si>
    <t>Forecast</t>
  </si>
  <si>
    <t>British American Tobacco Plc</t>
  </si>
  <si>
    <t>LSE:BATS</t>
  </si>
  <si>
    <t>Transferred to held-for-sale</t>
  </si>
  <si>
    <t>Unlevered beta</t>
  </si>
  <si>
    <t>Profit for the period (exc. Minorities)</t>
  </si>
  <si>
    <t>Inventory days</t>
  </si>
  <si>
    <t>Adjustment for associates</t>
  </si>
  <si>
    <t>Adjustments for minorities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</si>
</sst>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#,##0;&quot;(&quot;#,##0&quot;)&quot;"/>
    <numFmt numFmtId="166" formatCode="#,##0.0;&quot;(&quot;#,##0.0&quot;)&quot;"/>
    <numFmt numFmtId="167" formatCode="0.0%"/>
    <numFmt numFmtId="168" formatCode="0.0&quot;x&quot;"/>
    <numFmt numFmtId="169" formatCode="0.00&quot;x&quot;"/>
    <numFmt numFmtId="170" formatCode="_-* #,##0.0_-;\-* #,##0.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b/>
      <i/>
      <sz val="26"/>
      <color rgb="FF0070C0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6" borderId="0"/>
  </cellStyleXfs>
  <cellXfs count="95">
    <xf numFmtId="0" fontId="0" fillId="0" borderId="0" xfId="0"/>
    <xf numFmtId="0" fontId="0" fillId="3" borderId="0" xfId="0" applyFill="1"/>
    <xf numFmtId="0" fontId="2" fillId="4" borderId="0" xfId="0" applyFont="1" applyFill="1"/>
    <xf numFmtId="0" fontId="0" fillId="4" borderId="0" xfId="0" applyFill="1"/>
    <xf numFmtId="0" fontId="0" fillId="4" borderId="0" xfId="0" applyFill="1" applyAlignment="1">
      <alignment horizontal="right"/>
    </xf>
    <xf numFmtId="0" fontId="2" fillId="4" borderId="0" xfId="0" applyFont="1" applyFill="1" applyAlignment="1">
      <alignment horizontal="right"/>
    </xf>
    <xf numFmtId="0" fontId="0" fillId="2" borderId="2" xfId="1" applyFont="1" applyBorder="1"/>
    <xf numFmtId="14" fontId="0" fillId="2" borderId="2" xfId="1" applyNumberFormat="1" applyFont="1" applyBorder="1"/>
    <xf numFmtId="0" fontId="0" fillId="3" borderId="0" xfId="0" applyFill="1" applyAlignment="1">
      <alignment horizontal="right"/>
    </xf>
    <xf numFmtId="0" fontId="0" fillId="2" borderId="3" xfId="1" applyFont="1" applyBorder="1" applyAlignment="1">
      <alignment horizontal="right"/>
    </xf>
    <xf numFmtId="14" fontId="0" fillId="2" borderId="3" xfId="1" applyNumberFormat="1" applyFont="1" applyBorder="1" applyAlignment="1">
      <alignment horizontal="right"/>
    </xf>
    <xf numFmtId="16" fontId="0" fillId="2" borderId="1" xfId="1" applyNumberFormat="1" applyFont="1"/>
    <xf numFmtId="16" fontId="0" fillId="3" borderId="1" xfId="1" applyNumberFormat="1" applyFont="1" applyFill="1"/>
    <xf numFmtId="0" fontId="0" fillId="3" borderId="4" xfId="0" applyFill="1" applyBorder="1" applyAlignment="1">
      <alignment horizontal="right"/>
    </xf>
    <xf numFmtId="0" fontId="3" fillId="3" borderId="4" xfId="0" applyFont="1" applyFill="1" applyBorder="1"/>
    <xf numFmtId="0" fontId="0" fillId="3" borderId="4" xfId="0" applyFill="1" applyBorder="1"/>
    <xf numFmtId="14" fontId="0" fillId="3" borderId="0" xfId="0" applyNumberFormat="1" applyFill="1"/>
    <xf numFmtId="0" fontId="4" fillId="3" borderId="5" xfId="0" applyFont="1" applyFill="1" applyBorder="1"/>
    <xf numFmtId="43" fontId="0" fillId="3" borderId="0" xfId="2" applyFont="1" applyFill="1"/>
    <xf numFmtId="164" fontId="0" fillId="3" borderId="0" xfId="2" applyNumberFormat="1" applyFont="1" applyFill="1"/>
    <xf numFmtId="164" fontId="0" fillId="3" borderId="0" xfId="2" applyNumberFormat="1" applyFont="1" applyFill="1" applyAlignment="1">
      <alignment horizontal="right"/>
    </xf>
    <xf numFmtId="0" fontId="5" fillId="3" borderId="0" xfId="0" applyFont="1" applyFill="1"/>
    <xf numFmtId="0" fontId="7" fillId="3" borderId="0" xfId="0" applyFont="1" applyFill="1" applyAlignment="1">
      <alignment horizontal="right"/>
    </xf>
    <xf numFmtId="165" fontId="6" fillId="3" borderId="0" xfId="2" applyNumberFormat="1" applyFont="1" applyFill="1" applyAlignment="1">
      <alignment horizontal="right"/>
    </xf>
    <xf numFmtId="165" fontId="0" fillId="3" borderId="0" xfId="2" applyNumberFormat="1" applyFont="1" applyFill="1"/>
    <xf numFmtId="0" fontId="8" fillId="3" borderId="0" xfId="0" applyFont="1" applyFill="1"/>
    <xf numFmtId="14" fontId="0" fillId="3" borderId="0" xfId="1" applyNumberFormat="1" applyFont="1" applyFill="1" applyBorder="1"/>
    <xf numFmtId="14" fontId="0" fillId="3" borderId="0" xfId="1" applyNumberFormat="1" applyFont="1" applyFill="1" applyBorder="1" applyAlignment="1">
      <alignment horizontal="right"/>
    </xf>
    <xf numFmtId="166" fontId="0" fillId="3" borderId="0" xfId="2" applyNumberFormat="1" applyFont="1" applyFill="1"/>
    <xf numFmtId="167" fontId="0" fillId="3" borderId="0" xfId="3" applyNumberFormat="1" applyFont="1" applyFill="1"/>
    <xf numFmtId="166" fontId="6" fillId="3" borderId="0" xfId="2" applyNumberFormat="1" applyFont="1" applyFill="1" applyAlignment="1">
      <alignment horizontal="right"/>
    </xf>
    <xf numFmtId="43" fontId="0" fillId="0" borderId="1" xfId="2" applyFont="1" applyFill="1" applyBorder="1"/>
    <xf numFmtId="10" fontId="0" fillId="0" borderId="1" xfId="3" applyNumberFormat="1" applyFont="1" applyFill="1" applyBorder="1"/>
    <xf numFmtId="10" fontId="0" fillId="3" borderId="0" xfId="0" applyNumberFormat="1" applyFill="1"/>
    <xf numFmtId="43" fontId="0" fillId="3" borderId="1" xfId="2" applyFont="1" applyFill="1" applyBorder="1"/>
    <xf numFmtId="10" fontId="0" fillId="3" borderId="1" xfId="1" applyNumberFormat="1" applyFont="1" applyFill="1"/>
    <xf numFmtId="2" fontId="0" fillId="3" borderId="0" xfId="0" applyNumberFormat="1" applyFill="1"/>
    <xf numFmtId="164" fontId="0" fillId="3" borderId="0" xfId="0" applyNumberFormat="1" applyFill="1"/>
    <xf numFmtId="0" fontId="4" fillId="3" borderId="0" xfId="0" applyFont="1" applyFill="1"/>
    <xf numFmtId="164" fontId="4" fillId="3" borderId="0" xfId="2" applyNumberFormat="1" applyFont="1" applyFill="1"/>
    <xf numFmtId="10" fontId="0" fillId="3" borderId="1" xfId="3" applyNumberFormat="1" applyFont="1" applyFill="1" applyBorder="1"/>
    <xf numFmtId="43" fontId="0" fillId="3" borderId="0" xfId="0" applyNumberFormat="1" applyFill="1"/>
    <xf numFmtId="0" fontId="10" fillId="3" borderId="0" xfId="0" applyFont="1" applyFill="1"/>
    <xf numFmtId="9" fontId="5" fillId="3" borderId="0" xfId="3" applyFont="1" applyFill="1"/>
    <xf numFmtId="0" fontId="0" fillId="3" borderId="6" xfId="0" applyFill="1" applyBorder="1"/>
    <xf numFmtId="0" fontId="5" fillId="3" borderId="6" xfId="0" applyFont="1" applyFill="1" applyBorder="1"/>
    <xf numFmtId="167" fontId="0" fillId="6" borderId="0" xfId="3" applyNumberFormat="1" applyFont="1" applyFill="1"/>
    <xf numFmtId="0" fontId="13" fillId="3" borderId="0" xfId="0" applyFont="1" applyFill="1"/>
    <xf numFmtId="168" fontId="13" fillId="6" borderId="0" xfId="4" applyFont="1"/>
    <xf numFmtId="168" fontId="13" fillId="3" borderId="0" xfId="4" applyFont="1" applyFill="1"/>
    <xf numFmtId="170" fontId="13" fillId="6" borderId="0" xfId="2" applyNumberFormat="1" applyFont="1" applyFill="1"/>
    <xf numFmtId="170" fontId="13" fillId="3" borderId="0" xfId="2" applyNumberFormat="1" applyFont="1" applyFill="1"/>
    <xf numFmtId="10" fontId="13" fillId="3" borderId="0" xfId="0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right"/>
    </xf>
    <xf numFmtId="167" fontId="13" fillId="3" borderId="0" xfId="3" applyNumberFormat="1" applyFont="1" applyFill="1" applyAlignment="1">
      <alignment horizontal="right"/>
    </xf>
    <xf numFmtId="166" fontId="0" fillId="6" borderId="0" xfId="2" applyNumberFormat="1" applyFont="1" applyFill="1"/>
    <xf numFmtId="166" fontId="6" fillId="6" borderId="0" xfId="2" applyNumberFormat="1" applyFont="1" applyFill="1" applyAlignment="1">
      <alignment horizontal="right"/>
    </xf>
    <xf numFmtId="169" fontId="5" fillId="3" borderId="0" xfId="2" applyNumberFormat="1" applyFont="1" applyFill="1"/>
    <xf numFmtId="10" fontId="0" fillId="2" borderId="1" xfId="3" applyNumberFormat="1" applyFont="1" applyFill="1" applyBorder="1" applyProtection="1">
      <protection locked="0"/>
    </xf>
    <xf numFmtId="164" fontId="0" fillId="2" borderId="1" xfId="2" applyNumberFormat="1" applyFont="1" applyFill="1" applyBorder="1" applyProtection="1">
      <protection locked="0"/>
    </xf>
    <xf numFmtId="167" fontId="0" fillId="3" borderId="0" xfId="3" applyNumberFormat="1" applyFont="1" applyFill="1" applyProtection="1">
      <protection locked="0"/>
    </xf>
    <xf numFmtId="164" fontId="0" fillId="3" borderId="0" xfId="2" applyNumberFormat="1" applyFont="1" applyFill="1" applyProtection="1">
      <protection locked="0"/>
    </xf>
    <xf numFmtId="164" fontId="0" fillId="2" borderId="1" xfId="1" applyNumberFormat="1" applyFont="1" applyProtection="1">
      <protection locked="0"/>
    </xf>
    <xf numFmtId="10" fontId="0" fillId="2" borderId="1" xfId="2" applyNumberFormat="1" applyFont="1" applyFill="1" applyBorder="1" applyProtection="1">
      <protection locked="0"/>
    </xf>
    <xf numFmtId="43" fontId="0" fillId="2" borderId="1" xfId="2" applyFont="1" applyFill="1" applyBorder="1" applyProtection="1">
      <protection locked="0"/>
    </xf>
    <xf numFmtId="0" fontId="14" fillId="3" borderId="0" xfId="0" applyFont="1" applyFill="1"/>
    <xf numFmtId="14" fontId="0" fillId="0" borderId="0" xfId="0" applyNumberFormat="1"/>
    <xf numFmtId="0" fontId="0" fillId="7" borderId="0" xfId="0" applyFill="1"/>
    <xf numFmtId="0" fontId="15" fillId="3" borderId="0" xfId="0" applyFont="1" applyFill="1"/>
    <xf numFmtId="170" fontId="0" fillId="6" borderId="0" xfId="2" applyNumberFormat="1" applyFont="1" applyFill="1"/>
    <xf numFmtId="170" fontId="0" fillId="0" borderId="0" xfId="2" applyNumberFormat="1" applyFont="1" applyFill="1"/>
    <xf numFmtId="170" fontId="0" fillId="3" borderId="0" xfId="2" applyNumberFormat="1" applyFont="1" applyFill="1" applyProtection="1">
      <protection locked="0"/>
    </xf>
    <xf numFmtId="167" fontId="0" fillId="0" borderId="0" xfId="3" applyNumberFormat="1" applyFont="1" applyFill="1"/>
    <xf numFmtId="0" fontId="0" fillId="2" borderId="3" xfId="1" quotePrefix="1" applyFont="1" applyBorder="1" applyAlignment="1">
      <alignment horizontal="right"/>
    </xf>
    <xf numFmtId="167" fontId="0" fillId="6" borderId="6" xfId="3" applyNumberFormat="1" applyFont="1" applyFill="1" applyBorder="1"/>
    <xf numFmtId="167" fontId="0" fillId="3" borderId="6" xfId="3" applyNumberFormat="1" applyFont="1" applyFill="1" applyBorder="1"/>
    <xf numFmtId="0" fontId="4" fillId="3" borderId="7" xfId="0" applyFont="1" applyFill="1" applyBorder="1"/>
    <xf numFmtId="166" fontId="0" fillId="6" borderId="5" xfId="2" applyNumberFormat="1" applyFont="1" applyFill="1" applyBorder="1"/>
    <xf numFmtId="166" fontId="0" fillId="3" borderId="5" xfId="2" applyNumberFormat="1" applyFont="1" applyFill="1" applyBorder="1"/>
    <xf numFmtId="166" fontId="0" fillId="6" borderId="0" xfId="0" applyNumberFormat="1" applyFill="1" applyAlignment="1">
      <alignment horizontal="right"/>
    </xf>
    <xf numFmtId="166" fontId="0" fillId="6" borderId="0" xfId="0" applyNumberFormat="1" applyFill="1"/>
    <xf numFmtId="166" fontId="0" fillId="3" borderId="0" xfId="0" applyNumberFormat="1" applyFill="1"/>
    <xf numFmtId="166" fontId="0" fillId="4" borderId="0" xfId="0" applyNumberFormat="1" applyFill="1" applyAlignment="1">
      <alignment horizontal="right"/>
    </xf>
    <xf numFmtId="166" fontId="2" fillId="4" borderId="0" xfId="0" applyNumberFormat="1" applyFont="1" applyFill="1" applyAlignment="1">
      <alignment horizontal="right"/>
    </xf>
    <xf numFmtId="166" fontId="9" fillId="5" borderId="0" xfId="2" applyNumberFormat="1" applyFont="1" applyFill="1"/>
    <xf numFmtId="166" fontId="4" fillId="6" borderId="0" xfId="2" applyNumberFormat="1" applyFont="1" applyFill="1" applyBorder="1"/>
    <xf numFmtId="166" fontId="4" fillId="3" borderId="0" xfId="2" applyNumberFormat="1" applyFont="1" applyFill="1" applyBorder="1"/>
    <xf numFmtId="166" fontId="4" fillId="6" borderId="7" xfId="2" applyNumberFormat="1" applyFont="1" applyFill="1" applyBorder="1"/>
    <xf numFmtId="166" fontId="4" fillId="3" borderId="7" xfId="2" applyNumberFormat="1" applyFont="1" applyFill="1" applyBorder="1"/>
    <xf numFmtId="166" fontId="0" fillId="6" borderId="0" xfId="2" applyNumberFormat="1" applyFont="1" applyFill="1" applyBorder="1"/>
    <xf numFmtId="166" fontId="0" fillId="3" borderId="0" xfId="2" applyNumberFormat="1" applyFont="1" applyFill="1" applyBorder="1"/>
    <xf numFmtId="2" fontId="0" fillId="0" borderId="0" xfId="0" applyNumberFormat="1"/>
    <xf numFmtId="170" fontId="15" fillId="3" borderId="0" xfId="2" applyNumberFormat="1" applyFont="1" applyFill="1"/>
    <xf numFmtId="165" fontId="0" fillId="3" borderId="0" xfId="0" applyNumberFormat="1" applyFill="1"/>
    <xf numFmtId="167" fontId="0" fillId="0" borderId="0" xfId="3" applyNumberFormat="1" applyFont="1" applyFill="1" applyProtection="1"/>
  </cellXfs>
  <cellStyles count="5">
    <cellStyle name="Comma" xfId="2" builtinId="3"/>
    <cellStyle name="Normal" xfId="0" builtinId="0"/>
    <cellStyle name="Note" xfId="1" builtinId="10"/>
    <cellStyle name="Percent" xfId="3" builtinId="5"/>
    <cellStyle name="Style 1" xfId="4" xr:uid="{CAA3948D-C561-4D3F-977D-B4A6D04E8389}"/>
  </cellStyles>
  <dxfs count="23"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ont>
        <color rgb="FF00B050"/>
      </font>
      <numFmt numFmtId="171" formatCode="&quot;OK&quot;"/>
    </dxf>
    <dxf>
      <font>
        <color rgb="FF00B050"/>
      </font>
      <numFmt numFmtId="171" formatCode="&quot;OK&quot;"/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numFmt numFmtId="171" formatCode="&quot;OK&quot;"/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3197F-FF69-4E37-AEBC-95A85D315F7C}">
  <sheetPr>
    <tabColor theme="4" tint="0.79998168889431442"/>
  </sheetPr>
  <dimension ref="A1:E23"/>
  <sheetViews>
    <sheetView topLeftCell="A3" workbookViewId="0">
      <selection activeCell="E14" sqref="E14"/>
    </sheetView>
  </sheetViews>
  <sheetFormatPr defaultColWidth="9.109375" defaultRowHeight="14.4" x14ac:dyDescent="0.3"/>
  <cols>
    <col min="1" max="1" width="2.6640625" style="1" customWidth="1"/>
    <col min="2" max="4" width="12.6640625" style="1" customWidth="1"/>
    <col min="5" max="5" width="12.6640625" style="8" customWidth="1"/>
    <col min="6" max="9" width="12.6640625" style="1" customWidth="1"/>
    <col min="10" max="10" width="14.33203125" style="1" bestFit="1" customWidth="1"/>
    <col min="11" max="50" width="12.6640625" style="1" customWidth="1"/>
    <col min="51" max="16384" width="9.109375" style="1"/>
  </cols>
  <sheetData>
    <row r="1" spans="1:5" ht="33.6" x14ac:dyDescent="0.65">
      <c r="B1" s="65" t="s">
        <v>130</v>
      </c>
    </row>
    <row r="2" spans="1:5" s="15" customFormat="1" ht="15" thickBot="1" x14ac:dyDescent="0.35">
      <c r="A2" s="13"/>
      <c r="B2" s="14" t="str">
        <f ca="1">UPPER(cover!E8&amp;" - "&amp;DAY(cover!E12)&amp;"/"&amp;MONTH(cover!E12)&amp;"/"&amp;YEAR(cover!E12))</f>
        <v>BRITISH AMERICAN TOBACCO PLC - 4/6/2023</v>
      </c>
      <c r="E2" s="13"/>
    </row>
    <row r="3" spans="1:5" ht="15" thickTop="1" x14ac:dyDescent="0.3">
      <c r="B3" s="25" t="str">
        <f>IF(checks!E10&lt;&gt;0,"**ERROR**","")</f>
        <v/>
      </c>
    </row>
    <row r="4" spans="1:5" s="3" customFormat="1" x14ac:dyDescent="0.3">
      <c r="A4" s="5"/>
      <c r="B4" s="2" t="s">
        <v>2</v>
      </c>
      <c r="E4" s="4"/>
    </row>
    <row r="6" spans="1:5" x14ac:dyDescent="0.3">
      <c r="B6" s="2" t="s">
        <v>4</v>
      </c>
      <c r="C6" s="3"/>
      <c r="D6" s="3"/>
      <c r="E6" s="4"/>
    </row>
    <row r="8" spans="1:5" x14ac:dyDescent="0.3">
      <c r="B8" s="1" t="s">
        <v>0</v>
      </c>
      <c r="D8" s="6"/>
      <c r="E8" s="9" t="s">
        <v>309</v>
      </c>
    </row>
    <row r="9" spans="1:5" x14ac:dyDescent="0.3">
      <c r="B9" s="1" t="s">
        <v>1</v>
      </c>
      <c r="D9" s="6"/>
      <c r="E9" s="9" t="s">
        <v>310</v>
      </c>
    </row>
    <row r="10" spans="1:5" x14ac:dyDescent="0.3">
      <c r="B10" s="1" t="s">
        <v>3</v>
      </c>
      <c r="D10" s="6"/>
      <c r="E10" s="73" t="s">
        <v>295</v>
      </c>
    </row>
    <row r="11" spans="1:5" x14ac:dyDescent="0.3">
      <c r="B11" s="1" t="s">
        <v>6</v>
      </c>
      <c r="D11" s="6"/>
      <c r="E11" s="10">
        <f ca="1">TODAY()</f>
        <v>45081</v>
      </c>
    </row>
    <row r="12" spans="1:5" x14ac:dyDescent="0.3">
      <c r="B12" s="1" t="s">
        <v>102</v>
      </c>
      <c r="D12" s="7"/>
      <c r="E12" s="10">
        <f ca="1">E11</f>
        <v>45081</v>
      </c>
    </row>
    <row r="13" spans="1:5" x14ac:dyDescent="0.3">
      <c r="B13" s="1" t="s">
        <v>96</v>
      </c>
      <c r="D13" s="7"/>
      <c r="E13" s="10">
        <v>44926</v>
      </c>
    </row>
    <row r="14" spans="1:5" x14ac:dyDescent="0.3">
      <c r="B14" s="1" t="s">
        <v>28</v>
      </c>
      <c r="D14" s="26"/>
      <c r="E14" s="27">
        <f>E13</f>
        <v>44926</v>
      </c>
    </row>
    <row r="16" spans="1:5" x14ac:dyDescent="0.3">
      <c r="B16" s="2" t="s">
        <v>5</v>
      </c>
      <c r="C16" s="3"/>
      <c r="D16" s="3"/>
      <c r="E16" s="4"/>
    </row>
    <row r="18" spans="2:5" x14ac:dyDescent="0.3">
      <c r="D18" s="8" t="s">
        <v>11</v>
      </c>
      <c r="E18" s="8" t="s">
        <v>13</v>
      </c>
    </row>
    <row r="19" spans="2:5" x14ac:dyDescent="0.3">
      <c r="D19" s="8" t="s">
        <v>12</v>
      </c>
      <c r="E19" s="8" t="s">
        <v>12</v>
      </c>
    </row>
    <row r="20" spans="2:5" x14ac:dyDescent="0.3">
      <c r="B20" s="1" t="s">
        <v>7</v>
      </c>
      <c r="D20" s="11">
        <v>45077</v>
      </c>
      <c r="E20" s="11"/>
    </row>
    <row r="21" spans="2:5" x14ac:dyDescent="0.3">
      <c r="B21" s="1" t="s">
        <v>10</v>
      </c>
      <c r="D21" s="12">
        <f>EOMONTH(D20,3)</f>
        <v>45169</v>
      </c>
      <c r="E21" s="11"/>
    </row>
    <row r="22" spans="2:5" x14ac:dyDescent="0.3">
      <c r="B22" s="1" t="s">
        <v>8</v>
      </c>
      <c r="D22" s="12">
        <f>EOMONTH(D21,3)</f>
        <v>45260</v>
      </c>
      <c r="E22" s="11"/>
    </row>
    <row r="23" spans="2:5" x14ac:dyDescent="0.3">
      <c r="B23" s="1" t="s">
        <v>9</v>
      </c>
      <c r="D23" s="12">
        <f>EOMONTH(D22,3)</f>
        <v>45351</v>
      </c>
      <c r="E23" s="11"/>
    </row>
  </sheetData>
  <sheetProtection formatCells="0" formatColumns="0" formatRows="0" insertColumns="0" insertRows="0" insertHyperlinks="0" deleteColumns="0" deleteRows="0" selectLockedCells="1" sort="0" autoFilter="0" pivotTables="0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BD1BF-557B-48BE-A054-77E8CACF84E6}">
  <sheetPr>
    <tabColor theme="4" tint="0.79998168889431442"/>
  </sheetPr>
  <dimension ref="A1:V87"/>
  <sheetViews>
    <sheetView tabSelected="1" zoomScale="63" zoomScaleNormal="63" workbookViewId="0">
      <selection activeCell="L40" sqref="L40"/>
    </sheetView>
  </sheetViews>
  <sheetFormatPr defaultColWidth="9.109375" defaultRowHeight="14.4" x14ac:dyDescent="0.3"/>
  <cols>
    <col min="1" max="1" width="2.6640625" style="1" customWidth="1"/>
    <col min="2" max="2" width="12.6640625" style="1" customWidth="1"/>
    <col min="3" max="3" width="13.88671875" style="1" customWidth="1"/>
    <col min="4" max="4" width="14.5546875" style="1" bestFit="1" customWidth="1"/>
    <col min="5" max="5" width="12.6640625" style="8" customWidth="1"/>
    <col min="6" max="9" width="12.6640625" style="1" customWidth="1"/>
    <col min="10" max="10" width="14.33203125" style="1" bestFit="1" customWidth="1"/>
    <col min="11" max="43" width="12.6640625" style="1" customWidth="1"/>
    <col min="44" max="16384" width="9.109375" style="1"/>
  </cols>
  <sheetData>
    <row r="1" spans="1:22" ht="35.4" customHeight="1" x14ac:dyDescent="0.65">
      <c r="B1" s="65" t="s">
        <v>130</v>
      </c>
    </row>
    <row r="2" spans="1:22" s="15" customFormat="1" ht="15" thickBot="1" x14ac:dyDescent="0.35">
      <c r="A2" s="13"/>
      <c r="B2" s="14" t="str">
        <f ca="1">UPPER(cover!E8&amp;" - "&amp;DAY(cover!E12)&amp;"/"&amp;MONTH(cover!E12)&amp;"/"&amp;YEAR(cover!E12))</f>
        <v>BRITISH AMERICAN TOBACCO PLC - 4/6/2023</v>
      </c>
      <c r="E2" s="13"/>
    </row>
    <row r="3" spans="1:22" ht="15" thickTop="1" x14ac:dyDescent="0.3">
      <c r="B3" s="25" t="str">
        <f>IF(checks!E10&lt;&gt;0,"**ERROR**","")</f>
        <v/>
      </c>
    </row>
    <row r="4" spans="1:22" s="3" customFormat="1" x14ac:dyDescent="0.3">
      <c r="A4" s="5"/>
      <c r="B4" s="2" t="s">
        <v>108</v>
      </c>
      <c r="E4" s="4"/>
    </row>
    <row r="5" spans="1:22" x14ac:dyDescent="0.3">
      <c r="B5" s="38"/>
    </row>
    <row r="6" spans="1:22" x14ac:dyDescent="0.3">
      <c r="B6" s="2" t="s">
        <v>108</v>
      </c>
      <c r="C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x14ac:dyDescent="0.3">
      <c r="E7" s="1"/>
    </row>
    <row r="8" spans="1:22" x14ac:dyDescent="0.3">
      <c r="B8" s="1" t="s">
        <v>74</v>
      </c>
      <c r="D8" s="58">
        <f>WACC!I25</f>
        <v>9.4665685230626226E-2</v>
      </c>
      <c r="E8" s="1"/>
      <c r="F8" s="47" t="s">
        <v>120</v>
      </c>
      <c r="J8" s="2" t="s">
        <v>88</v>
      </c>
      <c r="K8" s="2"/>
      <c r="L8" s="2"/>
      <c r="N8" s="2" t="s">
        <v>85</v>
      </c>
      <c r="O8" s="2"/>
      <c r="P8" s="2"/>
    </row>
    <row r="9" spans="1:22" x14ac:dyDescent="0.3">
      <c r="B9" s="1" t="s">
        <v>75</v>
      </c>
      <c r="D9" s="58">
        <v>0.02</v>
      </c>
      <c r="E9" s="1"/>
      <c r="F9" s="21" t="s">
        <v>126</v>
      </c>
      <c r="G9" s="21"/>
      <c r="H9" s="57">
        <f>($D$13*$D$12/10^8-SUM($L$10:$L$13))/SUM($J$50)</f>
        <v>10.468482779648676</v>
      </c>
      <c r="J9" s="1" t="s">
        <v>89</v>
      </c>
      <c r="L9" s="37">
        <f ca="1">SUM(E79:L79)</f>
        <v>144309.5794546699</v>
      </c>
      <c r="N9" s="1" t="s">
        <v>87</v>
      </c>
      <c r="P9" s="36">
        <f>WACC!E14</f>
        <v>2554.09</v>
      </c>
    </row>
    <row r="10" spans="1:22" x14ac:dyDescent="0.3">
      <c r="B10" s="1" t="s">
        <v>76</v>
      </c>
      <c r="D10" s="16">
        <f ca="1">cover!E12</f>
        <v>45081</v>
      </c>
      <c r="E10" s="1"/>
      <c r="F10" s="21" t="s">
        <v>125</v>
      </c>
      <c r="G10" s="21"/>
      <c r="H10" s="57">
        <f>($D$13*$D$12/10^8-SUM($L$10:$L$13))/SUM($K$50)</f>
        <v>10.040628444604785</v>
      </c>
      <c r="J10" s="1" t="s">
        <v>90</v>
      </c>
      <c r="L10" s="19">
        <f>'detailed-financials'!J12-'detailed-financials'!J29</f>
        <v>-35389</v>
      </c>
      <c r="N10" s="1" t="s">
        <v>99</v>
      </c>
      <c r="P10" s="36">
        <f ca="1">L16-P9</f>
        <v>1292.1199450670447</v>
      </c>
    </row>
    <row r="11" spans="1:22" x14ac:dyDescent="0.3">
      <c r="B11" s="1" t="s">
        <v>96</v>
      </c>
      <c r="D11" s="16">
        <f>cover!E13</f>
        <v>44926</v>
      </c>
      <c r="F11" s="21" t="s">
        <v>124</v>
      </c>
      <c r="G11" s="21"/>
      <c r="H11" s="57">
        <f>($D$13*$D$12/10^8-SUM($L$10:$L$13))/SUM($L$50)</f>
        <v>9.6953583353828581</v>
      </c>
      <c r="J11" s="1" t="s">
        <v>103</v>
      </c>
      <c r="L11" s="37">
        <f>'detailed-financials'!J15</f>
        <v>579</v>
      </c>
      <c r="N11" s="1" t="s">
        <v>100</v>
      </c>
      <c r="P11" s="29">
        <f ca="1">1-(P9/L16)</f>
        <v>0.3359462856998362</v>
      </c>
    </row>
    <row r="12" spans="1:22" x14ac:dyDescent="0.3">
      <c r="B12" s="1" t="s">
        <v>107</v>
      </c>
      <c r="D12" s="41">
        <f>WACC!E14</f>
        <v>2554.09</v>
      </c>
      <c r="F12" s="21" t="s">
        <v>121</v>
      </c>
      <c r="G12" s="47"/>
      <c r="H12" s="57">
        <f>($D$13*$D$12/10^8-SUM($L$10:$L$13))/SUM($J$48)</f>
        <v>9.357079425642695</v>
      </c>
      <c r="I12" s="52"/>
      <c r="J12" s="1" t="s">
        <v>104</v>
      </c>
      <c r="L12" s="19">
        <f>-'detailed-financials'!K26-'detailed-financials'!K30-'detailed-financials'!K31-'detailed-financials'!K32-'detailed-financials'!K33</f>
        <v>-22306</v>
      </c>
      <c r="N12" s="1" t="s">
        <v>101</v>
      </c>
      <c r="P12" s="18">
        <f ca="1">L16*0.7</f>
        <v>2692.3469615469312</v>
      </c>
    </row>
    <row r="13" spans="1:22" x14ac:dyDescent="0.3">
      <c r="B13" s="1" t="s">
        <v>77</v>
      </c>
      <c r="D13" s="59">
        <f>'detailed-financials'!J67*10^6</f>
        <v>2267000000</v>
      </c>
      <c r="F13" s="21" t="s">
        <v>123</v>
      </c>
      <c r="G13" s="21"/>
      <c r="H13" s="57">
        <f>($D$13*$D$12/10^8-SUM($L$10:$L$13))/SUM($K$48)</f>
        <v>8.9998555173930228</v>
      </c>
      <c r="J13" s="1" t="s">
        <v>106</v>
      </c>
      <c r="L13" s="62"/>
    </row>
    <row r="14" spans="1:22" x14ac:dyDescent="0.3">
      <c r="B14" s="38"/>
      <c r="F14" s="21" t="s">
        <v>122</v>
      </c>
      <c r="G14" s="21"/>
      <c r="H14" s="57">
        <f>($D$13*$D$12/10^8-SUM($L$10:$L$13))/SUM($L$48)</f>
        <v>8.7281428145123492</v>
      </c>
      <c r="J14" s="38" t="s">
        <v>91</v>
      </c>
      <c r="K14" s="38"/>
      <c r="L14" s="39">
        <f ca="1">SUM(L9:L13)</f>
        <v>87193.579454669903</v>
      </c>
    </row>
    <row r="15" spans="1:22" x14ac:dyDescent="0.3">
      <c r="B15" s="38" t="s">
        <v>117</v>
      </c>
      <c r="D15" s="53">
        <f>summary!P9</f>
        <v>2554.09</v>
      </c>
      <c r="E15" s="1"/>
      <c r="F15" s="21" t="s">
        <v>127</v>
      </c>
      <c r="G15" s="21"/>
      <c r="H15" s="57">
        <f>($D$13*$D$12/10^8)/SUM($J$52)</f>
        <v>8.686051650165016</v>
      </c>
    </row>
    <row r="16" spans="1:22" x14ac:dyDescent="0.3">
      <c r="B16" s="38" t="s">
        <v>119</v>
      </c>
      <c r="D16" s="53">
        <f ca="1">summary!L16</f>
        <v>3846.2099450670448</v>
      </c>
      <c r="E16" s="1"/>
      <c r="F16" s="21" t="s">
        <v>128</v>
      </c>
      <c r="G16" s="21"/>
      <c r="H16" s="57">
        <f>($D$13*$D$12/10^8)/SUM($K$52)</f>
        <v>8.5320288907512669</v>
      </c>
      <c r="J16" s="1" t="s">
        <v>92</v>
      </c>
      <c r="L16" s="19">
        <f ca="1">L14/D13*10^8</f>
        <v>3846.2099450670448</v>
      </c>
    </row>
    <row r="17" spans="2:17" x14ac:dyDescent="0.3">
      <c r="B17" s="47" t="s">
        <v>116</v>
      </c>
      <c r="D17" s="54">
        <f ca="1">1-D15/D16</f>
        <v>0.3359462856998362</v>
      </c>
      <c r="E17" s="1"/>
      <c r="F17" s="21" t="s">
        <v>129</v>
      </c>
      <c r="G17" s="21"/>
      <c r="H17" s="57">
        <f>($D$13*$D$12/10^8)/SUM($L$52)</f>
        <v>8.1732347519950963</v>
      </c>
    </row>
    <row r="18" spans="2:17" x14ac:dyDescent="0.3">
      <c r="B18" s="38"/>
    </row>
    <row r="19" spans="2:17" x14ac:dyDescent="0.3">
      <c r="B19" s="1" t="s">
        <v>15</v>
      </c>
      <c r="E19" s="16">
        <f>'detailed-financials'!E6</f>
        <v>43100</v>
      </c>
      <c r="F19" s="16">
        <f>'detailed-financials'!F6</f>
        <v>43465</v>
      </c>
      <c r="G19" s="16">
        <f>'detailed-financials'!G6</f>
        <v>43830</v>
      </c>
      <c r="H19" s="16">
        <f>'detailed-financials'!H6</f>
        <v>44196</v>
      </c>
      <c r="I19" s="16">
        <f>'detailed-financials'!I6</f>
        <v>44561</v>
      </c>
      <c r="J19" s="16">
        <f>'detailed-financials'!J6</f>
        <v>44926</v>
      </c>
      <c r="K19" s="16">
        <f>'detailed-financials'!K6</f>
        <v>45291</v>
      </c>
      <c r="L19" s="16">
        <f>'detailed-financials'!L6</f>
        <v>45657</v>
      </c>
      <c r="M19" s="16">
        <f>'detailed-financials'!M6</f>
        <v>46022</v>
      </c>
      <c r="N19" s="16">
        <f>'detailed-financials'!N6</f>
        <v>46387</v>
      </c>
      <c r="O19" s="16">
        <f>'detailed-financials'!O6</f>
        <v>46752</v>
      </c>
      <c r="P19" s="16">
        <f>'detailed-financials'!P6</f>
        <v>47118</v>
      </c>
      <c r="Q19" s="16">
        <f>'detailed-financials'!Q6</f>
        <v>47483</v>
      </c>
    </row>
    <row r="20" spans="2:17" x14ac:dyDescent="0.3">
      <c r="B20" s="1" t="s">
        <v>42</v>
      </c>
      <c r="E20" s="1">
        <f>'detailed-financials'!E7</f>
        <v>12</v>
      </c>
      <c r="F20" s="1">
        <f>'detailed-financials'!F7</f>
        <v>12</v>
      </c>
      <c r="G20" s="1">
        <f>'detailed-financials'!G7</f>
        <v>12</v>
      </c>
      <c r="H20" s="1">
        <f>'detailed-financials'!H7</f>
        <v>12</v>
      </c>
      <c r="I20" s="1">
        <f>'detailed-financials'!I7</f>
        <v>12</v>
      </c>
      <c r="J20" s="1">
        <f>'detailed-financials'!J7</f>
        <v>12</v>
      </c>
      <c r="K20" s="1">
        <f>'detailed-financials'!K7</f>
        <v>12</v>
      </c>
      <c r="L20" s="1">
        <f>'detailed-financials'!L7</f>
        <v>12</v>
      </c>
      <c r="M20" s="1">
        <f>'detailed-financials'!M7</f>
        <v>12</v>
      </c>
      <c r="N20" s="1">
        <f>'detailed-financials'!N7</f>
        <v>12</v>
      </c>
      <c r="O20" s="1">
        <f>'detailed-financials'!O7</f>
        <v>12</v>
      </c>
      <c r="P20" s="1">
        <f>'detailed-financials'!P7</f>
        <v>12</v>
      </c>
      <c r="Q20" s="1">
        <f>'detailed-financials'!Q7</f>
        <v>12</v>
      </c>
    </row>
    <row r="21" spans="2:17" x14ac:dyDescent="0.3">
      <c r="B21" s="38"/>
      <c r="E21" s="1"/>
    </row>
    <row r="22" spans="2:17" x14ac:dyDescent="0.3">
      <c r="B22" s="2" t="s">
        <v>131</v>
      </c>
      <c r="C22" s="3"/>
      <c r="D22" s="5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  <c r="Q22" s="5"/>
    </row>
    <row r="23" spans="2:17" x14ac:dyDescent="0.3">
      <c r="E23" s="1"/>
      <c r="K23" s="92">
        <f>'p&amp;l'!BS7</f>
        <v>28341.599999999999</v>
      </c>
      <c r="L23" s="92">
        <f>'p&amp;l'!BT7</f>
        <v>29255.5</v>
      </c>
      <c r="M23" s="92">
        <f>'p&amp;l'!BU7</f>
        <v>30326.3</v>
      </c>
    </row>
    <row r="24" spans="2:17" x14ac:dyDescent="0.3">
      <c r="B24" s="1" t="s">
        <v>52</v>
      </c>
      <c r="E24" s="46"/>
      <c r="F24" s="46">
        <f>('detailed-financials'!F49*(12/'detailed-financials'!F$7))/'detailed-financials'!E49-1</f>
        <v>0.25189122878756898</v>
      </c>
      <c r="G24" s="46">
        <f>('detailed-financials'!G49*(12/'detailed-financials'!G$7))/'detailed-financials'!F49-1</f>
        <v>5.6549077249714141E-2</v>
      </c>
      <c r="H24" s="46">
        <f>('detailed-financials'!H49*(12/'detailed-financials'!H$7))/'detailed-financials'!G49-1</f>
        <v>-3.9030799551725837E-3</v>
      </c>
      <c r="I24" s="46">
        <f>('detailed-financials'!I49*(12/'detailed-financials'!I$7))/'detailed-financials'!H49-1</f>
        <v>-3.5692116697703113E-3</v>
      </c>
      <c r="J24" s="46">
        <f>('detailed-financials'!J49*(12/'detailed-financials'!J$7))/'detailed-financials'!I49-1</f>
        <v>7.6740383117894329E-2</v>
      </c>
      <c r="K24" s="60">
        <f>K23/'detailed-financials'!J49-1</f>
        <v>2.4827336828783242E-2</v>
      </c>
      <c r="L24" s="60">
        <f>L23/'detailed-financials'!K49-1</f>
        <v>3.2245885906229566E-2</v>
      </c>
      <c r="M24" s="60">
        <f>M23/'detailed-financials'!L49-1</f>
        <v>3.6601664644255072E-2</v>
      </c>
      <c r="N24" s="60">
        <v>0.02</v>
      </c>
      <c r="O24" s="60">
        <v>0.02</v>
      </c>
      <c r="P24" s="60">
        <v>0.02</v>
      </c>
      <c r="Q24" s="60">
        <v>0.02</v>
      </c>
    </row>
    <row r="25" spans="2:17" x14ac:dyDescent="0.3">
      <c r="B25" s="1" t="s">
        <v>274</v>
      </c>
      <c r="E25" s="46"/>
      <c r="F25" s="46"/>
      <c r="G25" s="46"/>
      <c r="H25" s="46"/>
      <c r="I25" s="46"/>
      <c r="J25" s="46">
        <f>('detailed-financials'!J49/'detailed-financials'!E49)^(1/5)-1</f>
        <v>7.1675251964646414E-2</v>
      </c>
      <c r="K25" s="72">
        <f>('detailed-financials'!K49/'detailed-financials'!F49)^(1/5)-1</f>
        <v>2.9627237369516113E-2</v>
      </c>
      <c r="L25" s="72">
        <f>('detailed-financials'!L49/'detailed-financials'!G49)^(1/5)-1</f>
        <v>2.484625824161113E-2</v>
      </c>
      <c r="M25" s="72">
        <f>('detailed-financials'!M49/'detailed-financials'!H49)^(1/5)-1</f>
        <v>3.3048664889787194E-2</v>
      </c>
      <c r="N25" s="72">
        <f>('detailed-financials'!N49/'detailed-financials'!I49)^(1/5)-1</f>
        <v>3.7890143162430556E-2</v>
      </c>
      <c r="O25" s="72">
        <f>('detailed-financials'!O49/'detailed-financials'!J49)^(1/5)-1</f>
        <v>2.6713379500117984E-2</v>
      </c>
      <c r="P25" s="72">
        <f>('detailed-financials'!P49/'detailed-financials'!K49)^(1/5)-1</f>
        <v>2.5744307728182036E-2</v>
      </c>
      <c r="Q25" s="72">
        <f>('detailed-financials'!Q49/'detailed-financials'!L49)^(1/5)-1</f>
        <v>2.329892477289297E-2</v>
      </c>
    </row>
    <row r="26" spans="2:17" x14ac:dyDescent="0.3">
      <c r="B26" s="1" t="s">
        <v>288</v>
      </c>
      <c r="E26" s="46">
        <f>'detailed-financials'!E51/'detailed-financials'!E49</f>
        <v>0.74274177059905955</v>
      </c>
      <c r="F26" s="46">
        <f>'detailed-financials'!F51/'detailed-financials'!F49</f>
        <v>0.8142250530785563</v>
      </c>
      <c r="G26" s="46">
        <f>'detailed-financials'!G51/'detailed-financials'!G49</f>
        <v>0.82853499246435058</v>
      </c>
      <c r="H26" s="46">
        <f>'detailed-financials'!H51/'detailed-financials'!H49</f>
        <v>0.83946306641837365</v>
      </c>
      <c r="I26" s="46">
        <f>'detailed-financials'!I51/'detailed-financials'!I49</f>
        <v>0.82938794580283448</v>
      </c>
      <c r="J26" s="46">
        <f>'detailed-financials'!J51/'detailed-financials'!J49</f>
        <v>0.83532815042487796</v>
      </c>
      <c r="K26" s="60">
        <f>J26</f>
        <v>0.83532815042487796</v>
      </c>
      <c r="L26" s="60">
        <f t="shared" ref="L26:Q26" si="0">K26</f>
        <v>0.83532815042487796</v>
      </c>
      <c r="M26" s="60">
        <f t="shared" si="0"/>
        <v>0.83532815042487796</v>
      </c>
      <c r="N26" s="60">
        <f t="shared" si="0"/>
        <v>0.83532815042487796</v>
      </c>
      <c r="O26" s="60">
        <f t="shared" si="0"/>
        <v>0.83532815042487796</v>
      </c>
      <c r="P26" s="60">
        <f t="shared" si="0"/>
        <v>0.83532815042487796</v>
      </c>
      <c r="Q26" s="60">
        <f t="shared" si="0"/>
        <v>0.83532815042487796</v>
      </c>
    </row>
    <row r="27" spans="2:17" x14ac:dyDescent="0.3">
      <c r="B27" s="1" t="s">
        <v>302</v>
      </c>
      <c r="E27" s="69">
        <f>-'detailed-financials'!E52-'detailed-financials'!E54</f>
        <v>7187</v>
      </c>
      <c r="F27" s="69">
        <f>-'detailed-financials'!F52-'detailed-financials'!F54</f>
        <v>9338</v>
      </c>
      <c r="G27" s="69">
        <f>-'detailed-financials'!G52-'detailed-financials'!G54</f>
        <v>10726</v>
      </c>
      <c r="H27" s="69">
        <f>-'detailed-financials'!H52-'detailed-financials'!H54</f>
        <v>10396</v>
      </c>
      <c r="I27" s="69">
        <f>-'detailed-financials'!I52-'detailed-financials'!I54</f>
        <v>10044</v>
      </c>
      <c r="J27" s="69">
        <f>-'detailed-financials'!J52-'detailed-financials'!J54</f>
        <v>11251</v>
      </c>
      <c r="K27" s="61">
        <f>K44*40%</f>
        <v>11336.640000000001</v>
      </c>
      <c r="L27" s="61">
        <f t="shared" ref="L27:Q27" si="1">L44*40%</f>
        <v>11702.199999999999</v>
      </c>
      <c r="M27" s="61">
        <f t="shared" si="1"/>
        <v>12130.52</v>
      </c>
      <c r="N27" s="61">
        <f t="shared" si="1"/>
        <v>12373.130400000002</v>
      </c>
      <c r="O27" s="61">
        <f t="shared" si="1"/>
        <v>12620.593008000002</v>
      </c>
      <c r="P27" s="61">
        <f t="shared" si="1"/>
        <v>12873.004868160002</v>
      </c>
      <c r="Q27" s="61">
        <f t="shared" si="1"/>
        <v>13130.464965523201</v>
      </c>
    </row>
    <row r="28" spans="2:17" x14ac:dyDescent="0.3">
      <c r="B28" s="1" t="s">
        <v>301</v>
      </c>
      <c r="E28" s="46">
        <f>E27/'detailed-financials'!E49</f>
        <v>0.36735841341239012</v>
      </c>
      <c r="F28" s="46">
        <f>F27/'detailed-financials'!F49</f>
        <v>0.38126735260493222</v>
      </c>
      <c r="G28" s="46">
        <f>G27/'detailed-financials'!G49</f>
        <v>0.41449936236812612</v>
      </c>
      <c r="H28" s="46">
        <f>H27/'detailed-financials'!H49</f>
        <v>0.40332091868404718</v>
      </c>
      <c r="I28" s="46">
        <f>I27/'detailed-financials'!I49</f>
        <v>0.39106058246379066</v>
      </c>
      <c r="J28" s="46">
        <f>J27/'detailed-financials'!J49</f>
        <v>0.40683420719580549</v>
      </c>
      <c r="K28" s="94">
        <f>K27/'detailed-financials'!K49</f>
        <v>0.4</v>
      </c>
      <c r="L28" s="94">
        <f>L27/'detailed-financials'!L49</f>
        <v>0.4</v>
      </c>
      <c r="M28" s="94">
        <f>M27/'detailed-financials'!M49</f>
        <v>0.4</v>
      </c>
      <c r="N28" s="94">
        <f>N27/'detailed-financials'!N49</f>
        <v>0.4</v>
      </c>
      <c r="O28" s="94">
        <f>O27/'detailed-financials'!O49</f>
        <v>0.4</v>
      </c>
      <c r="P28" s="94">
        <f>P27/'detailed-financials'!P49</f>
        <v>0.4</v>
      </c>
      <c r="Q28" s="94">
        <f>Q27/'detailed-financials'!Q49</f>
        <v>0.4</v>
      </c>
    </row>
    <row r="29" spans="2:17" x14ac:dyDescent="0.3">
      <c r="B29" s="1" t="s">
        <v>289</v>
      </c>
      <c r="E29" s="46"/>
      <c r="F29" s="46">
        <f>-'detailed-financials'!F56*12/F20/('detailed-financials'!E20+'detailed-financials'!E19)</f>
        <v>1.3219561895058584E-2</v>
      </c>
      <c r="G29" s="46">
        <f>-'detailed-financials'!G56*12/G20/('detailed-financials'!F20+'detailed-financials'!F19)</f>
        <v>1.8213356461405029E-2</v>
      </c>
      <c r="H29" s="46">
        <f>-'detailed-financials'!H56*12/H20/('detailed-financials'!G20+'detailed-financials'!G19)</f>
        <v>1.5514633262073535E-2</v>
      </c>
      <c r="I29" s="46">
        <f>-'detailed-financials'!I56*12/I20/('detailed-financials'!H20+'detailed-financials'!H19)</f>
        <v>1.3219345129988064E-2</v>
      </c>
      <c r="J29" s="46">
        <f>-'detailed-financials'!J56*12/J20/('detailed-financials'!I20+'detailed-financials'!I19)</f>
        <v>1.6863951204383335E-2</v>
      </c>
      <c r="K29" s="60">
        <f>AVERAGE($F$29:$J$29)</f>
        <v>1.5406169590581709E-2</v>
      </c>
      <c r="L29" s="60">
        <f t="shared" ref="L29:Q29" si="2">AVERAGE($F$29:$J$29)</f>
        <v>1.5406169590581709E-2</v>
      </c>
      <c r="M29" s="60">
        <f t="shared" si="2"/>
        <v>1.5406169590581709E-2</v>
      </c>
      <c r="N29" s="60">
        <f t="shared" si="2"/>
        <v>1.5406169590581709E-2</v>
      </c>
      <c r="O29" s="60">
        <f t="shared" si="2"/>
        <v>1.5406169590581709E-2</v>
      </c>
      <c r="P29" s="60">
        <f t="shared" si="2"/>
        <v>1.5406169590581709E-2</v>
      </c>
      <c r="Q29" s="60">
        <f t="shared" si="2"/>
        <v>1.5406169590581709E-2</v>
      </c>
    </row>
    <row r="30" spans="2:17" x14ac:dyDescent="0.3">
      <c r="B30" s="1" t="s">
        <v>275</v>
      </c>
      <c r="E30" s="46">
        <f>IFERROR(-'detailed-financials'!E58/SUM('detailed-financials'!E29:E29,'detailed-financials'!E27:E27)*2*(12/E20),0)</f>
        <v>4.5460060667340749E-2</v>
      </c>
      <c r="F30" s="46">
        <f>IFERROR(-'detailed-financials'!F58/SUM('detailed-financials'!E29:F29,'detailed-financials'!E27:F27)*2*(12/F20),0)</f>
        <v>3.3704968079291249E-2</v>
      </c>
      <c r="G30" s="46">
        <f>IFERROR(-'detailed-financials'!G58/SUM('detailed-financials'!F29:G29,'detailed-financials'!F27:G27)*2*(12/G20),0)</f>
        <v>3.850336473755047E-2</v>
      </c>
      <c r="H30" s="46">
        <f>IFERROR(-'detailed-financials'!H58/SUM('detailed-financials'!G29:H29,'detailed-financials'!G27:H27)*2*(12/H20),0)</f>
        <v>3.9940000447757855E-2</v>
      </c>
      <c r="I30" s="46">
        <f>IFERROR(-'detailed-financials'!I58/SUM('detailed-financials'!H29:I29,'detailed-financials'!H27:I27)*2*(12/I20),0)</f>
        <v>3.5658766412359794E-2</v>
      </c>
      <c r="J30" s="46">
        <f>IFERROR(-'detailed-financials'!J58/SUM('detailed-financials'!I29:J29,'detailed-financials'!I27:J27)*2*(12/J20),0)</f>
        <v>4.0117723687067279E-2</v>
      </c>
      <c r="K30" s="60">
        <v>0.05</v>
      </c>
      <c r="L30" s="60">
        <f>K30</f>
        <v>0.05</v>
      </c>
      <c r="M30" s="60">
        <f>L30</f>
        <v>0.05</v>
      </c>
      <c r="N30" s="60">
        <f>M30</f>
        <v>0.05</v>
      </c>
      <c r="O30" s="60">
        <f>N30</f>
        <v>0.05</v>
      </c>
      <c r="P30" s="60">
        <f t="shared" ref="P30" si="3">O30</f>
        <v>0.05</v>
      </c>
      <c r="Q30" s="60">
        <f t="shared" ref="Q30" si="4">P30</f>
        <v>0.05</v>
      </c>
    </row>
    <row r="31" spans="2:17" x14ac:dyDescent="0.3">
      <c r="B31" s="1" t="s">
        <v>53</v>
      </c>
      <c r="E31" s="46">
        <f>-'detailed-financials'!E60/'detailed-financials'!E59</f>
        <v>-0.27530734581908084</v>
      </c>
      <c r="F31" s="46">
        <f>-'detailed-financials'!F60/'detailed-financials'!F59</f>
        <v>0.25637648185846007</v>
      </c>
      <c r="G31" s="46">
        <f>-'detailed-financials'!G60/'detailed-financials'!G59</f>
        <v>0.26074317492416582</v>
      </c>
      <c r="H31" s="46">
        <f>-'detailed-financials'!H60/'detailed-financials'!H59</f>
        <v>0.24308118081180813</v>
      </c>
      <c r="I31" s="46">
        <f>-'detailed-financials'!I60/'detailed-financials'!I59</f>
        <v>0.23889555822328931</v>
      </c>
      <c r="J31" s="46">
        <f>-'detailed-financials'!J60/'detailed-financials'!J59</f>
        <v>0.26576576576576577</v>
      </c>
      <c r="K31" s="60">
        <v>0.25</v>
      </c>
      <c r="L31" s="60">
        <v>0.25</v>
      </c>
      <c r="M31" s="60">
        <v>0.25</v>
      </c>
      <c r="N31" s="60">
        <v>0.25</v>
      </c>
      <c r="O31" s="60">
        <v>0.25</v>
      </c>
      <c r="P31" s="60">
        <v>0.25</v>
      </c>
      <c r="Q31" s="60">
        <v>0.25</v>
      </c>
    </row>
    <row r="32" spans="2:17" x14ac:dyDescent="0.3">
      <c r="B32" s="1" t="s">
        <v>54</v>
      </c>
      <c r="E32" s="69">
        <f>('detailed-financials'!E16+'detailed-financials'!E13)/'detailed-financials'!E49*365*(E20/12)</f>
        <v>93.563432835820905</v>
      </c>
      <c r="F32" s="69">
        <f>('detailed-financials'!F16+'detailed-financials'!F13)/'detailed-financials'!F49*365*(F20/12)</f>
        <v>63.337008002613103</v>
      </c>
      <c r="G32" s="69">
        <f>('detailed-financials'!G16+'detailed-financials'!G13)/'detailed-financials'!G49*365*(G20/12)</f>
        <v>74.292035398230098</v>
      </c>
      <c r="H32" s="69">
        <f>('detailed-financials'!H16+'detailed-financials'!H13)/'detailed-financials'!H49*365*(H20/12)</f>
        <v>80.36060676598386</v>
      </c>
      <c r="I32" s="69">
        <f>('detailed-financials'!I16+'detailed-financials'!I13)/'detailed-financials'!I49*365*(I20/12)</f>
        <v>81.017948917614078</v>
      </c>
      <c r="J32" s="69">
        <f>('detailed-financials'!J16+'detailed-financials'!J13)/'detailed-financials'!J49*365*(J20/12)</f>
        <v>78.279334659193637</v>
      </c>
      <c r="K32" s="61">
        <f>AVERAGE(F32:J32)</f>
        <v>75.457386748726961</v>
      </c>
      <c r="L32" s="61">
        <f>K32</f>
        <v>75.457386748726961</v>
      </c>
      <c r="M32" s="61">
        <f t="shared" ref="M32:O35" si="5">L32</f>
        <v>75.457386748726961</v>
      </c>
      <c r="N32" s="61">
        <f t="shared" si="5"/>
        <v>75.457386748726961</v>
      </c>
      <c r="O32" s="61">
        <f t="shared" si="5"/>
        <v>75.457386748726961</v>
      </c>
      <c r="P32" s="61">
        <f t="shared" ref="P32:P35" si="6">O32</f>
        <v>75.457386748726961</v>
      </c>
      <c r="Q32" s="61">
        <f t="shared" ref="Q32:Q35" si="7">P32</f>
        <v>75.457386748726961</v>
      </c>
    </row>
    <row r="33" spans="2:17" x14ac:dyDescent="0.3">
      <c r="B33" s="1" t="s">
        <v>314</v>
      </c>
      <c r="E33" s="69">
        <f>'detailed-financials'!E14/'detailed-financials'!E49*365*(E20/12)</f>
        <v>109.40298507462687</v>
      </c>
      <c r="F33" s="69">
        <f>'detailed-financials'!F14/'detailed-financials'!F49*365*(F20/12)</f>
        <v>89.849134411236321</v>
      </c>
      <c r="G33" s="69">
        <f>'detailed-financials'!G14/'detailed-financials'!G49*365*(G20/12)</f>
        <v>85.957027476137114</v>
      </c>
      <c r="H33" s="69">
        <f>'detailed-financials'!H14/'detailed-financials'!H49*365*(H20/12)</f>
        <v>84.934435133457484</v>
      </c>
      <c r="I33" s="69">
        <f>'detailed-financials'!I14/'detailed-financials'!I49*365*(I20/12)</f>
        <v>75.02083008877122</v>
      </c>
      <c r="J33" s="69">
        <f>'detailed-financials'!J14/'detailed-financials'!J49*365*(J20/12)</f>
        <v>74.84776713071777</v>
      </c>
      <c r="K33" s="61">
        <f>AVERAGE(F33:J33)</f>
        <v>82.121838848063987</v>
      </c>
      <c r="L33" s="61">
        <f>K33</f>
        <v>82.121838848063987</v>
      </c>
      <c r="M33" s="61">
        <f t="shared" ref="M33" si="8">L33</f>
        <v>82.121838848063987</v>
      </c>
      <c r="N33" s="61">
        <f t="shared" ref="N33" si="9">M33</f>
        <v>82.121838848063987</v>
      </c>
      <c r="O33" s="61">
        <f t="shared" ref="O33" si="10">N33</f>
        <v>82.121838848063987</v>
      </c>
      <c r="P33" s="61">
        <f t="shared" ref="P33" si="11">O33</f>
        <v>82.121838848063987</v>
      </c>
      <c r="Q33" s="61">
        <f t="shared" ref="Q33" si="12">P33</f>
        <v>82.121838848063987</v>
      </c>
    </row>
    <row r="34" spans="2:17" x14ac:dyDescent="0.3">
      <c r="B34" s="1" t="s">
        <v>55</v>
      </c>
      <c r="E34" s="69">
        <f>-'detailed-financials'!E25/'detailed-financials'!E52*365*E20/12</f>
        <v>506.17470320973183</v>
      </c>
      <c r="F34" s="69">
        <f>-'detailed-financials'!F25/'detailed-financials'!F52*365*F20/12</f>
        <v>436.36329826798436</v>
      </c>
      <c r="G34" s="69">
        <f>-'detailed-financials'!G25/'detailed-financials'!G52*365*G20/12</f>
        <v>372.35702574983117</v>
      </c>
      <c r="H34" s="69">
        <f>-'detailed-financials'!H25/'detailed-financials'!H52*365*H20/12</f>
        <v>388.87953629032262</v>
      </c>
      <c r="I34" s="69">
        <f>-'detailed-financials'!I25/'detailed-financials'!I52*365*I20/12</f>
        <v>398.89840425531912</v>
      </c>
      <c r="J34" s="69">
        <f>-'detailed-financials'!J25/'detailed-financials'!J52*365*J20/12</f>
        <v>435.00192363181691</v>
      </c>
      <c r="K34" s="61">
        <f>AVERAGE(F34:J34)</f>
        <v>406.30003763905484</v>
      </c>
      <c r="L34" s="61">
        <f>K34</f>
        <v>406.30003763905484</v>
      </c>
      <c r="M34" s="61">
        <f t="shared" si="5"/>
        <v>406.30003763905484</v>
      </c>
      <c r="N34" s="61">
        <f t="shared" si="5"/>
        <v>406.30003763905484</v>
      </c>
      <c r="O34" s="61">
        <f t="shared" si="5"/>
        <v>406.30003763905484</v>
      </c>
      <c r="P34" s="61">
        <f t="shared" si="6"/>
        <v>406.30003763905484</v>
      </c>
      <c r="Q34" s="61">
        <f t="shared" si="7"/>
        <v>406.30003763905484</v>
      </c>
    </row>
    <row r="35" spans="2:17" x14ac:dyDescent="0.3">
      <c r="B35" s="1" t="s">
        <v>276</v>
      </c>
      <c r="E35" s="69">
        <f>('detailed-financials'!E29+'detailed-financials'!E27)</f>
        <v>49450</v>
      </c>
      <c r="F35" s="69">
        <f>('detailed-financials'!F29+'detailed-financials'!F27)</f>
        <v>47509</v>
      </c>
      <c r="G35" s="69">
        <f>('detailed-financials'!G29+'detailed-financials'!G27)</f>
        <v>45366</v>
      </c>
      <c r="H35" s="69">
        <f>('detailed-financials'!H29+'detailed-financials'!H27)</f>
        <v>43968</v>
      </c>
      <c r="I35" s="69">
        <f>('detailed-financials'!I29+'detailed-financials'!I27)</f>
        <v>39658</v>
      </c>
      <c r="J35" s="69">
        <f>('detailed-financials'!J29+'detailed-financials'!J27)</f>
        <v>43248</v>
      </c>
      <c r="K35" s="71">
        <f>J35</f>
        <v>43248</v>
      </c>
      <c r="L35" s="71">
        <f>K35</f>
        <v>43248</v>
      </c>
      <c r="M35" s="71">
        <f t="shared" si="5"/>
        <v>43248</v>
      </c>
      <c r="N35" s="71">
        <f t="shared" si="5"/>
        <v>43248</v>
      </c>
      <c r="O35" s="71">
        <f t="shared" si="5"/>
        <v>43248</v>
      </c>
      <c r="P35" s="71">
        <f t="shared" si="6"/>
        <v>43248</v>
      </c>
      <c r="Q35" s="71">
        <f t="shared" si="7"/>
        <v>43248</v>
      </c>
    </row>
    <row r="36" spans="2:17" x14ac:dyDescent="0.3">
      <c r="B36" s="1" t="s">
        <v>277</v>
      </c>
      <c r="E36" s="69">
        <f>'detailed-financials'!E12</f>
        <v>3131</v>
      </c>
      <c r="F36" s="69">
        <f>'detailed-financials'!F12</f>
        <v>2307</v>
      </c>
      <c r="G36" s="69">
        <f>'detailed-financials'!G12</f>
        <v>1899</v>
      </c>
      <c r="H36" s="69">
        <f>'detailed-financials'!H12</f>
        <v>1806</v>
      </c>
      <c r="I36" s="69">
        <f>'detailed-financials'!I12</f>
        <v>1480</v>
      </c>
      <c r="J36" s="69">
        <f>'detailed-financials'!J12</f>
        <v>3337</v>
      </c>
      <c r="K36" s="70">
        <f>'detailed-financials'!K12</f>
        <v>5684.2790187911251</v>
      </c>
      <c r="L36" s="70">
        <f>'detailed-financials'!L12</f>
        <v>8256.7801604517808</v>
      </c>
      <c r="M36" s="70">
        <f>'detailed-financials'!M12</f>
        <v>11337.167495706066</v>
      </c>
      <c r="N36" s="70">
        <f>'detailed-financials'!N12</f>
        <v>13921.304515470289</v>
      </c>
      <c r="O36" s="70">
        <f>'detailed-financials'!O12</f>
        <v>16542.207643747843</v>
      </c>
      <c r="P36" s="70">
        <f>'detailed-financials'!P12</f>
        <v>19200.961655693445</v>
      </c>
      <c r="Q36" s="70">
        <f>'detailed-financials'!Q12</f>
        <v>21898.667638232975</v>
      </c>
    </row>
    <row r="37" spans="2:17" x14ac:dyDescent="0.3">
      <c r="B37" s="1" t="s">
        <v>56</v>
      </c>
      <c r="E37" s="46">
        <f>-'detailed-financials'!E92/'detailed-financials'!E61</f>
        <v>9.2017208413001914E-2</v>
      </c>
      <c r="F37" s="46">
        <f>-'detailed-financials'!F92/'detailed-financials'!F61</f>
        <v>0.7</v>
      </c>
      <c r="G37" s="46">
        <f>-'detailed-financials'!G92/'detailed-financials'!G61</f>
        <v>0.78611728500598388</v>
      </c>
      <c r="H37" s="46">
        <f>-'detailed-financials'!H92/'detailed-financials'!H61</f>
        <v>0.7228823887873248</v>
      </c>
      <c r="I37" s="46">
        <f>-'detailed-financials'!I92/'detailed-financials'!I61</f>
        <v>0.70318325207915111</v>
      </c>
      <c r="J37" s="46">
        <f>-'detailed-financials'!J92/'detailed-financials'!J61</f>
        <v>0.71793748174116268</v>
      </c>
      <c r="K37" s="60">
        <f t="shared" ref="K37:Q37" si="13">J37</f>
        <v>0.71793748174116268</v>
      </c>
      <c r="L37" s="60">
        <f t="shared" si="13"/>
        <v>0.71793748174116268</v>
      </c>
      <c r="M37" s="60">
        <f t="shared" si="13"/>
        <v>0.71793748174116268</v>
      </c>
      <c r="N37" s="60">
        <f t="shared" si="13"/>
        <v>0.71793748174116268</v>
      </c>
      <c r="O37" s="60">
        <f t="shared" si="13"/>
        <v>0.71793748174116268</v>
      </c>
      <c r="P37" s="60">
        <f t="shared" si="13"/>
        <v>0.71793748174116268</v>
      </c>
      <c r="Q37" s="60">
        <f t="shared" si="13"/>
        <v>0.71793748174116268</v>
      </c>
    </row>
    <row r="38" spans="2:17" x14ac:dyDescent="0.3">
      <c r="B38" s="1" t="s">
        <v>57</v>
      </c>
      <c r="E38" s="69">
        <f>-SUM('detailed-financials'!E81)</f>
        <v>978</v>
      </c>
      <c r="F38" s="69">
        <f>-SUM('detailed-financials'!F81)</f>
        <v>943</v>
      </c>
      <c r="G38" s="69">
        <f>-SUM('detailed-financials'!G81)</f>
        <v>815</v>
      </c>
      <c r="H38" s="69">
        <f>-SUM('detailed-financials'!H81)</f>
        <v>755</v>
      </c>
      <c r="I38" s="69">
        <f>-SUM('detailed-financials'!I81)</f>
        <v>745</v>
      </c>
      <c r="J38" s="69">
        <f>-SUM('detailed-financials'!J81)</f>
        <v>656</v>
      </c>
      <c r="K38" s="71">
        <f>-cf!BS26</f>
        <v>669.5</v>
      </c>
      <c r="L38" s="71">
        <f>-cf!BT26</f>
        <v>717.8</v>
      </c>
      <c r="M38" s="71">
        <f>-cf!BU26</f>
        <v>762.5</v>
      </c>
      <c r="N38" s="71">
        <f>AVERAGE($E$38:$I$38)/AVERAGE($E$44:$I$44)*N44</f>
        <v>1079.3987374560313</v>
      </c>
      <c r="O38" s="71">
        <f>AVERAGE($E$38:$I$38)/AVERAGE($E$44:$I$44)*O44</f>
        <v>1100.9867122051519</v>
      </c>
      <c r="P38" s="71">
        <f>AVERAGE($E$38:$I$38)/AVERAGE($E$44:$I$44)*P44</f>
        <v>1123.006446449255</v>
      </c>
      <c r="Q38" s="71">
        <f>AVERAGE($E$38:$I$38)/AVERAGE($E$44:$I$44)*Q44</f>
        <v>1145.4665753782401</v>
      </c>
    </row>
    <row r="39" spans="2:17" x14ac:dyDescent="0.3">
      <c r="B39" s="1" t="s">
        <v>290</v>
      </c>
      <c r="E39" s="69">
        <f>-'detailed-financials'!E83</f>
        <v>17734</v>
      </c>
      <c r="F39" s="69">
        <f>-'detailed-financials'!F83</f>
        <v>32</v>
      </c>
      <c r="G39" s="69">
        <f>-'detailed-financials'!G83</f>
        <v>86</v>
      </c>
      <c r="H39" s="69">
        <f>-'detailed-financials'!H83</f>
        <v>0</v>
      </c>
      <c r="I39" s="69">
        <f>-'detailed-financials'!I83</f>
        <v>231</v>
      </c>
      <c r="J39" s="69">
        <f>-'detailed-financials'!J83</f>
        <v>39</v>
      </c>
      <c r="K39" s="70"/>
      <c r="L39" s="70"/>
      <c r="M39" s="70"/>
      <c r="N39" s="70"/>
      <c r="O39" s="70"/>
      <c r="P39" s="70"/>
      <c r="Q39" s="70"/>
    </row>
    <row r="40" spans="2:17" x14ac:dyDescent="0.3">
      <c r="B40" s="1" t="s">
        <v>304</v>
      </c>
      <c r="E40" s="46">
        <f>'detailed-financials'!E$57*(1-E$31)/SUM('detailed-financials'!E23,-'detailed-financials'!E30,'detailed-financials'!E31,'detailed-financials'!E32,'detailed-financials'!E33)*(12/'detailed-financials'!E$7)</f>
        <v>0.30721759752823979</v>
      </c>
      <c r="F40" s="46">
        <f>'detailed-financials'!F$57*(1-F$31)/SUM('detailed-financials'!F23,-'detailed-financials'!F30,'detailed-financials'!F31,'detailed-financials'!F32,'detailed-financials'!F33)*(12/'detailed-financials'!F$7)</f>
        <v>5.632272249048613E-2</v>
      </c>
      <c r="G40" s="46">
        <f>'detailed-financials'!G$57*(1-G$31)/SUM('detailed-financials'!G23,-'detailed-financials'!G30,'detailed-financials'!G31,'detailed-financials'!G32,'detailed-financials'!G33)*(12/'detailed-financials'!G$7)</f>
        <v>5.640829120800793E-2</v>
      </c>
      <c r="H40" s="46">
        <f>'detailed-financials'!H$57*(1-H$31)/SUM('detailed-financials'!H23,-'detailed-financials'!H30,'detailed-financials'!H31,'detailed-financials'!H32,'detailed-financials'!H33)*(12/'detailed-financials'!H$7)</f>
        <v>6.3624213562220519E-2</v>
      </c>
      <c r="I40" s="46">
        <f>'detailed-financials'!I$57*(1-I$31)/SUM('detailed-financials'!I23,-'detailed-financials'!I30,'detailed-financials'!I31,'detailed-financials'!I32,'detailed-financials'!I33)*(12/'detailed-financials'!I$7)</f>
        <v>6.5607886424928805E-2</v>
      </c>
      <c r="J40" s="46">
        <f>'detailed-financials'!J$57*(1-J$31)/SUM('detailed-financials'!J23,-'detailed-financials'!J30,'detailed-financials'!J31,'detailed-financials'!J32,'detailed-financials'!J33)*(12/'detailed-financials'!J$7)</f>
        <v>5.8433038270930146E-2</v>
      </c>
      <c r="K40" s="60">
        <f>'detailed-financials'!K$57*(1-K$31)/SUM('detailed-financials'!K23,-'detailed-financials'!K30,'detailed-financials'!K31,'detailed-financials'!K32,'detailed-financials'!K33)*(12/'detailed-financials'!K$7)</f>
        <v>6.1200137216943278E-2</v>
      </c>
      <c r="L40" s="60">
        <f>'detailed-financials'!L$57*(1-L$31)/SUM('detailed-financials'!L23,-'detailed-financials'!L30,'detailed-financials'!L31,'detailed-financials'!L32,'detailed-financials'!L33)*(12/'detailed-financials'!L$7)</f>
        <v>6.2228646420316315E-2</v>
      </c>
      <c r="M40" s="60">
        <f>'detailed-financials'!M$57*(1-M$31)/SUM('detailed-financials'!M23,-'detailed-financials'!M30,'detailed-financials'!M31,'detailed-financials'!M32,'detailed-financials'!M33)*(12/'detailed-financials'!M$7)</f>
        <v>6.3490468169950701E-2</v>
      </c>
      <c r="N40" s="60">
        <f>'detailed-financials'!N$57*(1-N$31)/SUM('detailed-financials'!N23,-'detailed-financials'!N30,'detailed-financials'!N31,'detailed-financials'!N32,'detailed-financials'!N33)*(12/'detailed-financials'!N$7)</f>
        <v>6.3742712415075384E-2</v>
      </c>
      <c r="O40" s="60">
        <f>'detailed-financials'!O$57*(1-O$31)/SUM('detailed-financials'!O23,-'detailed-financials'!O30,'detailed-financials'!O31,'detailed-financials'!O32,'detailed-financials'!O33)*(12/'detailed-financials'!O$7)</f>
        <v>6.3959161318372301E-2</v>
      </c>
      <c r="P40" s="60">
        <f>'detailed-financials'!P$57*(1-P$31)/SUM('detailed-financials'!P23,-'detailed-financials'!P30,'detailed-financials'!P31,'detailed-financials'!P32,'detailed-financials'!P33)*(12/'detailed-financials'!P$7)</f>
        <v>6.416396963567482E-2</v>
      </c>
      <c r="Q40" s="60">
        <f>'detailed-financials'!Q$57*(1-Q$31)/SUM('detailed-financials'!Q23,-'detailed-financials'!Q30,'detailed-financials'!Q31,'detailed-financials'!Q32,'detailed-financials'!Q33)*(12/'detailed-financials'!Q$7)</f>
        <v>6.4357479191241782E-2</v>
      </c>
    </row>
    <row r="41" spans="2:17" x14ac:dyDescent="0.3">
      <c r="B41" s="38"/>
      <c r="E41" s="1"/>
    </row>
    <row r="42" spans="2:17" x14ac:dyDescent="0.3">
      <c r="B42" s="2" t="s">
        <v>132</v>
      </c>
      <c r="C42" s="3"/>
      <c r="D42" s="5"/>
      <c r="E42" s="4"/>
      <c r="F42" s="4"/>
      <c r="G42" s="4"/>
      <c r="H42" s="4"/>
      <c r="I42" s="4"/>
      <c r="J42" s="4"/>
      <c r="K42" s="4"/>
      <c r="L42" s="5"/>
      <c r="M42" s="5"/>
      <c r="N42" s="5"/>
      <c r="O42" s="5"/>
      <c r="P42" s="5"/>
      <c r="Q42" s="5"/>
    </row>
    <row r="43" spans="2:17" x14ac:dyDescent="0.3">
      <c r="B43" s="38"/>
      <c r="E43" s="1"/>
    </row>
    <row r="44" spans="2:17" x14ac:dyDescent="0.3">
      <c r="B44" s="38" t="s">
        <v>31</v>
      </c>
      <c r="C44" s="38"/>
      <c r="D44" s="38"/>
      <c r="E44" s="85">
        <f>'detailed-financials'!E49</f>
        <v>19564</v>
      </c>
      <c r="F44" s="85">
        <f>'detailed-financials'!F49</f>
        <v>24492</v>
      </c>
      <c r="G44" s="85">
        <f>'detailed-financials'!G49</f>
        <v>25877</v>
      </c>
      <c r="H44" s="85">
        <f>'detailed-financials'!H49</f>
        <v>25776</v>
      </c>
      <c r="I44" s="85">
        <f>'detailed-financials'!I49</f>
        <v>25684</v>
      </c>
      <c r="J44" s="85">
        <f>'detailed-financials'!J49</f>
        <v>27655</v>
      </c>
      <c r="K44" s="86">
        <f>'detailed-financials'!K49</f>
        <v>28341.600000000002</v>
      </c>
      <c r="L44" s="86">
        <f>'detailed-financials'!L49</f>
        <v>29255.499999999996</v>
      </c>
      <c r="M44" s="86">
        <f>'detailed-financials'!M49</f>
        <v>30326.3</v>
      </c>
      <c r="N44" s="86">
        <f>'detailed-financials'!N49</f>
        <v>30932.826000000001</v>
      </c>
      <c r="O44" s="86">
        <f>'detailed-financials'!O49</f>
        <v>31551.482520000001</v>
      </c>
      <c r="P44" s="86">
        <f>'detailed-financials'!P49</f>
        <v>32182.512170400001</v>
      </c>
      <c r="Q44" s="86">
        <f>'detailed-financials'!Q49</f>
        <v>32826.162413808001</v>
      </c>
    </row>
    <row r="45" spans="2:17" x14ac:dyDescent="0.3">
      <c r="B45" s="44" t="s">
        <v>297</v>
      </c>
      <c r="C45" s="44"/>
      <c r="D45" s="44"/>
      <c r="E45" s="74"/>
      <c r="F45" s="74">
        <f>F44/E44-1</f>
        <v>0.25189122878756898</v>
      </c>
      <c r="G45" s="74">
        <f t="shared" ref="G45:Q45" si="14">G44/F44-1</f>
        <v>5.6549077249714141E-2</v>
      </c>
      <c r="H45" s="74">
        <f t="shared" si="14"/>
        <v>-3.9030799551725837E-3</v>
      </c>
      <c r="I45" s="74">
        <f t="shared" si="14"/>
        <v>-3.5692116697703113E-3</v>
      </c>
      <c r="J45" s="74">
        <f t="shared" si="14"/>
        <v>7.6740383117894329E-2</v>
      </c>
      <c r="K45" s="75">
        <f t="shared" si="14"/>
        <v>2.4827336828783242E-2</v>
      </c>
      <c r="L45" s="75">
        <f t="shared" si="14"/>
        <v>3.2245885906229566E-2</v>
      </c>
      <c r="M45" s="75">
        <f t="shared" si="14"/>
        <v>3.6601664644255072E-2</v>
      </c>
      <c r="N45" s="75">
        <f t="shared" si="14"/>
        <v>2.0000000000000018E-2</v>
      </c>
      <c r="O45" s="75">
        <f t="shared" si="14"/>
        <v>2.0000000000000018E-2</v>
      </c>
      <c r="P45" s="75">
        <f t="shared" si="14"/>
        <v>2.0000000000000018E-2</v>
      </c>
      <c r="Q45" s="75">
        <f t="shared" si="14"/>
        <v>2.0000000000000018E-2</v>
      </c>
    </row>
    <row r="46" spans="2:17" x14ac:dyDescent="0.3">
      <c r="B46" s="76" t="s">
        <v>33</v>
      </c>
      <c r="C46" s="76"/>
      <c r="D46" s="76"/>
      <c r="E46" s="87">
        <f>'detailed-financials'!E51</f>
        <v>14531</v>
      </c>
      <c r="F46" s="87">
        <f>'detailed-financials'!F51</f>
        <v>19942</v>
      </c>
      <c r="G46" s="87">
        <f>'detailed-financials'!G51</f>
        <v>21440</v>
      </c>
      <c r="H46" s="87">
        <f>'detailed-financials'!H51</f>
        <v>21638</v>
      </c>
      <c r="I46" s="87">
        <f>'detailed-financials'!I51</f>
        <v>21302</v>
      </c>
      <c r="J46" s="87">
        <f>'detailed-financials'!J51</f>
        <v>23101</v>
      </c>
      <c r="K46" s="88">
        <f>'detailed-financials'!K51</f>
        <v>23674.536308081722</v>
      </c>
      <c r="L46" s="88">
        <f>'detailed-financials'!L51</f>
        <v>24437.942704755013</v>
      </c>
      <c r="M46" s="88">
        <f>'detailed-financials'!M51</f>
        <v>25332.412088229976</v>
      </c>
      <c r="N46" s="88">
        <f>'detailed-financials'!N51</f>
        <v>25839.060329994576</v>
      </c>
      <c r="O46" s="88">
        <f>'detailed-financials'!O51</f>
        <v>26355.841536594467</v>
      </c>
      <c r="P46" s="88">
        <f>'detailed-financials'!P51</f>
        <v>26882.958367326359</v>
      </c>
      <c r="Q46" s="88">
        <f>'detailed-financials'!Q51</f>
        <v>27420.617534672885</v>
      </c>
    </row>
    <row r="47" spans="2:17" x14ac:dyDescent="0.3">
      <c r="B47" s="45" t="s">
        <v>296</v>
      </c>
      <c r="C47" s="45"/>
      <c r="D47" s="45"/>
      <c r="E47" s="74">
        <f t="shared" ref="E47:Q47" si="15">E46/E$44</f>
        <v>0.74274177059905955</v>
      </c>
      <c r="F47" s="74">
        <f t="shared" si="15"/>
        <v>0.8142250530785563</v>
      </c>
      <c r="G47" s="74">
        <f t="shared" si="15"/>
        <v>0.82853499246435058</v>
      </c>
      <c r="H47" s="74">
        <f t="shared" si="15"/>
        <v>0.83946306641837365</v>
      </c>
      <c r="I47" s="74">
        <f t="shared" si="15"/>
        <v>0.82938794580283448</v>
      </c>
      <c r="J47" s="74">
        <f t="shared" si="15"/>
        <v>0.83532815042487796</v>
      </c>
      <c r="K47" s="75">
        <f t="shared" si="15"/>
        <v>0.83532815042487796</v>
      </c>
      <c r="L47" s="75">
        <f t="shared" si="15"/>
        <v>0.83532815042487796</v>
      </c>
      <c r="M47" s="75">
        <f t="shared" si="15"/>
        <v>0.83532815042487796</v>
      </c>
      <c r="N47" s="75">
        <f t="shared" si="15"/>
        <v>0.83532815042487796</v>
      </c>
      <c r="O47" s="75">
        <f t="shared" si="15"/>
        <v>0.83532815042487796</v>
      </c>
      <c r="P47" s="75">
        <f t="shared" si="15"/>
        <v>0.83532815042487796</v>
      </c>
      <c r="Q47" s="75">
        <f t="shared" si="15"/>
        <v>0.83532815042487796</v>
      </c>
    </row>
    <row r="48" spans="2:17" x14ac:dyDescent="0.3">
      <c r="B48" s="76" t="s">
        <v>35</v>
      </c>
      <c r="C48" s="76"/>
      <c r="D48" s="76"/>
      <c r="E48" s="87">
        <f>'detailed-financials'!E55</f>
        <v>31553</v>
      </c>
      <c r="F48" s="87">
        <f>'detailed-financials'!F55</f>
        <v>11023</v>
      </c>
      <c r="G48" s="87">
        <f>'detailed-financials'!G55</f>
        <v>11212</v>
      </c>
      <c r="H48" s="87">
        <f>'detailed-financials'!H55</f>
        <v>11697</v>
      </c>
      <c r="I48" s="87">
        <f>'detailed-financials'!I55</f>
        <v>11673</v>
      </c>
      <c r="J48" s="87">
        <f>'detailed-financials'!J55</f>
        <v>12292</v>
      </c>
      <c r="K48" s="88">
        <f>'detailed-financials'!K55</f>
        <v>12779.896308081721</v>
      </c>
      <c r="L48" s="88">
        <f>'detailed-financials'!L55</f>
        <v>13177.742704755014</v>
      </c>
      <c r="M48" s="88">
        <f>'detailed-financials'!M55</f>
        <v>13643.892088229975</v>
      </c>
      <c r="N48" s="88">
        <f>'detailed-financials'!N55</f>
        <v>13907.929929994574</v>
      </c>
      <c r="O48" s="88">
        <f>'detailed-financials'!O55</f>
        <v>14177.248528594466</v>
      </c>
      <c r="P48" s="88">
        <f>'detailed-financials'!P55</f>
        <v>14451.953499166357</v>
      </c>
      <c r="Q48" s="88">
        <f>'detailed-financials'!Q55</f>
        <v>14732.152569149684</v>
      </c>
    </row>
    <row r="49" spans="2:17" x14ac:dyDescent="0.3">
      <c r="B49" s="45" t="s">
        <v>111</v>
      </c>
      <c r="C49" s="45"/>
      <c r="D49" s="45"/>
      <c r="E49" s="74">
        <f t="shared" ref="E49:Q49" si="16">E48/E$44</f>
        <v>1.6128092414639132</v>
      </c>
      <c r="F49" s="74">
        <f t="shared" si="16"/>
        <v>0.45006532745386246</v>
      </c>
      <c r="G49" s="74">
        <f t="shared" si="16"/>
        <v>0.43328051938014456</v>
      </c>
      <c r="H49" s="74">
        <f t="shared" si="16"/>
        <v>0.45379422718808193</v>
      </c>
      <c r="I49" s="74">
        <f t="shared" si="16"/>
        <v>0.45448528266625138</v>
      </c>
      <c r="J49" s="74">
        <f t="shared" si="16"/>
        <v>0.44447658651238475</v>
      </c>
      <c r="K49" s="75">
        <f t="shared" si="16"/>
        <v>0.45092360022305444</v>
      </c>
      <c r="L49" s="75">
        <f t="shared" si="16"/>
        <v>0.45043642066466189</v>
      </c>
      <c r="M49" s="75">
        <f t="shared" si="16"/>
        <v>0.44990295842981093</v>
      </c>
      <c r="N49" s="75">
        <f t="shared" si="16"/>
        <v>0.44961717788069455</v>
      </c>
      <c r="O49" s="75">
        <f t="shared" si="16"/>
        <v>0.44933700087175699</v>
      </c>
      <c r="P49" s="75">
        <f t="shared" si="16"/>
        <v>0.44906231752966136</v>
      </c>
      <c r="Q49" s="75">
        <f t="shared" si="16"/>
        <v>0.44879302013544997</v>
      </c>
    </row>
    <row r="50" spans="2:17" x14ac:dyDescent="0.3">
      <c r="B50" s="38" t="s">
        <v>37</v>
      </c>
      <c r="C50" s="38"/>
      <c r="D50" s="38"/>
      <c r="E50" s="89">
        <f>'detailed-financials'!E57</f>
        <v>30651</v>
      </c>
      <c r="F50" s="89">
        <f>'detailed-financials'!F57</f>
        <v>9985</v>
      </c>
      <c r="G50" s="89">
        <f>'detailed-financials'!G57</f>
        <v>9700</v>
      </c>
      <c r="H50" s="89">
        <f>'detailed-financials'!H57</f>
        <v>10456</v>
      </c>
      <c r="I50" s="89">
        <f>'detailed-financials'!I57</f>
        <v>10654</v>
      </c>
      <c r="J50" s="89">
        <f>'detailed-financials'!J57</f>
        <v>10987</v>
      </c>
      <c r="K50" s="90">
        <f>'detailed-financials'!K57</f>
        <v>11455.181409665962</v>
      </c>
      <c r="L50" s="90">
        <f>'detailed-financials'!L57</f>
        <v>11863.122158182523</v>
      </c>
      <c r="M50" s="90">
        <f>'detailed-financials'!M57</f>
        <v>12338.466260213125</v>
      </c>
      <c r="N50" s="90">
        <f>'detailed-financials'!N57</f>
        <v>12610.868509359258</v>
      </c>
      <c r="O50" s="90">
        <f>'detailed-financials'!O57</f>
        <v>12883.540456169751</v>
      </c>
      <c r="P50" s="90">
        <f>'detailed-financials'!P57</f>
        <v>13161.214524700912</v>
      </c>
      <c r="Q50" s="90">
        <f>'detailed-financials'!Q57</f>
        <v>13443.997710456715</v>
      </c>
    </row>
    <row r="51" spans="2:17" x14ac:dyDescent="0.3">
      <c r="B51" s="45" t="s">
        <v>113</v>
      </c>
      <c r="C51" s="45"/>
      <c r="D51" s="45"/>
      <c r="E51" s="74">
        <f t="shared" ref="E51:Q51" si="17">E50/E$44</f>
        <v>1.5667041504804744</v>
      </c>
      <c r="F51" s="74">
        <f t="shared" si="17"/>
        <v>0.40768414176057488</v>
      </c>
      <c r="G51" s="74">
        <f t="shared" si="17"/>
        <v>0.37485025312053177</v>
      </c>
      <c r="H51" s="74">
        <f t="shared" si="17"/>
        <v>0.40564866542520173</v>
      </c>
      <c r="I51" s="74">
        <f t="shared" si="17"/>
        <v>0.41481077713751752</v>
      </c>
      <c r="J51" s="74">
        <f t="shared" si="17"/>
        <v>0.39728801301753752</v>
      </c>
      <c r="K51" s="75">
        <f t="shared" si="17"/>
        <v>0.40418259412545376</v>
      </c>
      <c r="L51" s="75">
        <f t="shared" si="17"/>
        <v>0.40550057794884808</v>
      </c>
      <c r="M51" s="75">
        <f t="shared" si="17"/>
        <v>0.40685696112658404</v>
      </c>
      <c r="N51" s="75">
        <f t="shared" si="17"/>
        <v>0.40768562527585606</v>
      </c>
      <c r="O51" s="75">
        <f t="shared" si="17"/>
        <v>0.40833391736832242</v>
      </c>
      <c r="P51" s="75">
        <f t="shared" si="17"/>
        <v>0.40895547417227401</v>
      </c>
      <c r="Q51" s="75">
        <f t="shared" si="17"/>
        <v>0.40955130669802664</v>
      </c>
    </row>
    <row r="52" spans="2:17" x14ac:dyDescent="0.3">
      <c r="B52" s="38" t="s">
        <v>313</v>
      </c>
      <c r="C52" s="38"/>
      <c r="D52" s="38"/>
      <c r="E52" s="89">
        <f>'detailed-financials'!E63</f>
        <v>37827</v>
      </c>
      <c r="F52" s="89">
        <f>'detailed-financials'!F63</f>
        <v>6032</v>
      </c>
      <c r="G52" s="89">
        <f>'detailed-financials'!G63</f>
        <v>5704</v>
      </c>
      <c r="H52" s="89">
        <f>'detailed-financials'!H63</f>
        <v>6400</v>
      </c>
      <c r="I52" s="89">
        <f>'detailed-financials'!I63</f>
        <v>6801</v>
      </c>
      <c r="J52" s="89">
        <f>'detailed-financials'!J63</f>
        <v>6666</v>
      </c>
      <c r="K52" s="90">
        <f>'detailed-financials'!K63</f>
        <v>6786.3366429484331</v>
      </c>
      <c r="L52" s="90">
        <f>'detailed-financials'!L63</f>
        <v>7084.2477986902613</v>
      </c>
      <c r="M52" s="90">
        <f>'detailed-financials'!M63</f>
        <v>7431.3823061547646</v>
      </c>
      <c r="N52" s="90">
        <f>'detailed-financials'!N63</f>
        <v>7630.3123448059614</v>
      </c>
      <c r="O52" s="90">
        <f>'detailed-financials'!O63</f>
        <v>7829.4393383903989</v>
      </c>
      <c r="P52" s="90">
        <f>'detailed-financials'!P63</f>
        <v>8032.2192837046769</v>
      </c>
      <c r="Q52" s="90">
        <f>'detailed-financials'!Q63</f>
        <v>8238.7303174741974</v>
      </c>
    </row>
    <row r="53" spans="2:17" x14ac:dyDescent="0.3">
      <c r="B53" s="21" t="s">
        <v>110</v>
      </c>
      <c r="C53" s="21"/>
      <c r="D53" s="21"/>
      <c r="E53" s="74">
        <f t="shared" ref="E53:Q53" si="18">E52/E$44</f>
        <v>1.9335003066857492</v>
      </c>
      <c r="F53" s="74">
        <f t="shared" si="18"/>
        <v>0.24628450106157113</v>
      </c>
      <c r="G53" s="74">
        <f t="shared" si="18"/>
        <v>0.22042740657726939</v>
      </c>
      <c r="H53" s="74">
        <f t="shared" si="18"/>
        <v>0.24829298572315331</v>
      </c>
      <c r="I53" s="74">
        <f t="shared" si="18"/>
        <v>0.26479520323937084</v>
      </c>
      <c r="J53" s="74">
        <f t="shared" si="18"/>
        <v>0.24104140300126559</v>
      </c>
      <c r="K53" s="75">
        <f t="shared" si="18"/>
        <v>0.2394479014222356</v>
      </c>
      <c r="L53" s="75">
        <f t="shared" si="18"/>
        <v>0.24215097327648688</v>
      </c>
      <c r="M53" s="75">
        <f t="shared" si="18"/>
        <v>0.24504744417072855</v>
      </c>
      <c r="N53" s="75">
        <f t="shared" si="18"/>
        <v>0.24667362577237403</v>
      </c>
      <c r="O53" s="75">
        <f t="shared" si="18"/>
        <v>0.24814806510050477</v>
      </c>
      <c r="P53" s="75">
        <f t="shared" si="18"/>
        <v>0.24958335263498616</v>
      </c>
      <c r="Q53" s="75">
        <f t="shared" si="18"/>
        <v>0.25098061155051915</v>
      </c>
    </row>
    <row r="54" spans="2:17" x14ac:dyDescent="0.3">
      <c r="B54" s="38"/>
      <c r="E54" s="1"/>
    </row>
    <row r="55" spans="2:17" x14ac:dyDescent="0.3">
      <c r="B55" s="47" t="s">
        <v>278</v>
      </c>
      <c r="C55" s="47"/>
      <c r="D55" s="47"/>
      <c r="E55" s="50">
        <f>'detailed-financials'!E68</f>
        <v>1844.3198439785469</v>
      </c>
      <c r="F55" s="50">
        <f>'detailed-financials'!F68</f>
        <v>263.17626527050612</v>
      </c>
      <c r="G55" s="50">
        <f>'detailed-financials'!G68</f>
        <v>248.97424705368834</v>
      </c>
      <c r="H55" s="50">
        <f>'detailed-financials'!H68</f>
        <v>278.86710239651416</v>
      </c>
      <c r="I55" s="50">
        <f>'detailed-financials'!I68</f>
        <v>296.08184588593815</v>
      </c>
      <c r="J55" s="50">
        <f>'detailed-financials'!J68</f>
        <v>294.04499338332596</v>
      </c>
      <c r="K55" s="51">
        <f>'detailed-financials'!K68</f>
        <v>304.21589075728815</v>
      </c>
      <c r="L55" s="51">
        <f>'detailed-financials'!L68</f>
        <v>317.57056388637682</v>
      </c>
      <c r="M55" s="51">
        <f>'detailed-financials'!M68</f>
        <v>333.1318068598797</v>
      </c>
      <c r="N55" s="51">
        <f>'detailed-financials'!N68</f>
        <v>342.04938376339783</v>
      </c>
      <c r="O55" s="51">
        <f>'detailed-financials'!O68</f>
        <v>350.9757897043786</v>
      </c>
      <c r="P55" s="51">
        <f>'detailed-financials'!P68</f>
        <v>360.06594908449085</v>
      </c>
      <c r="Q55" s="51">
        <f>'detailed-financials'!Q68</f>
        <v>369.32336459373801</v>
      </c>
    </row>
    <row r="56" spans="2:17" x14ac:dyDescent="0.3">
      <c r="B56" s="47" t="s">
        <v>112</v>
      </c>
      <c r="C56" s="47"/>
      <c r="D56" s="47"/>
      <c r="E56" s="48">
        <f>$D$12/E55</f>
        <v>1.3848411425701221</v>
      </c>
      <c r="F56" s="48">
        <f>$D$12/F55</f>
        <v>9.7048645225464192</v>
      </c>
      <c r="G56" s="48">
        <f>$D$12/G55</f>
        <v>10.258450543478261</v>
      </c>
      <c r="H56" s="48">
        <f t="shared" ref="H56:J56" si="19">$D$12/H55</f>
        <v>9.158807109375001</v>
      </c>
      <c r="I56" s="48">
        <f t="shared" si="19"/>
        <v>8.6262972062931933</v>
      </c>
      <c r="J56" s="48">
        <f t="shared" si="19"/>
        <v>8.6860516501650178</v>
      </c>
      <c r="K56" s="49">
        <f>$D$12/K55</f>
        <v>8.3956495291619202</v>
      </c>
      <c r="L56" s="49">
        <f>$D$12/L55</f>
        <v>8.042590499394727</v>
      </c>
      <c r="M56" s="49">
        <f>$D$12/M55</f>
        <v>7.6669052531339021</v>
      </c>
      <c r="N56" s="49">
        <f>$D$12/N55</f>
        <v>7.4670211999759477</v>
      </c>
      <c r="O56" s="49">
        <f>$D$12/O55</f>
        <v>7.277111626848308</v>
      </c>
      <c r="P56" s="49">
        <f t="shared" ref="P56:Q56" si="20">$D$12/P55</f>
        <v>7.0933949919287516</v>
      </c>
      <c r="Q56" s="49">
        <f t="shared" si="20"/>
        <v>6.9155927971400963</v>
      </c>
    </row>
    <row r="57" spans="2:17" x14ac:dyDescent="0.3">
      <c r="E57" s="1"/>
    </row>
    <row r="58" spans="2:17" x14ac:dyDescent="0.3">
      <c r="B58" s="47" t="s">
        <v>114</v>
      </c>
      <c r="C58" s="47"/>
      <c r="D58" s="47"/>
      <c r="E58" s="48">
        <f t="shared" ref="E58:Q58" si="21">SUM($D$12*$D$13/10^8,-SUM($L$10:$L$13))/E50*E20/12</f>
        <v>3.7524785586114646</v>
      </c>
      <c r="F58" s="48">
        <f t="shared" si="21"/>
        <v>11.519000530796196</v>
      </c>
      <c r="G58" s="48">
        <f t="shared" si="21"/>
        <v>11.857445391752577</v>
      </c>
      <c r="H58" s="48">
        <f t="shared" si="21"/>
        <v>11.000116708110177</v>
      </c>
      <c r="I58" s="48">
        <f t="shared" si="21"/>
        <v>10.795684278205369</v>
      </c>
      <c r="J58" s="48">
        <f t="shared" si="21"/>
        <v>10.468482779648676</v>
      </c>
      <c r="K58" s="49">
        <f t="shared" si="21"/>
        <v>10.040628444604785</v>
      </c>
      <c r="L58" s="49">
        <f t="shared" si="21"/>
        <v>9.6953583353828581</v>
      </c>
      <c r="M58" s="49">
        <f t="shared" si="21"/>
        <v>9.3218409706955985</v>
      </c>
      <c r="N58" s="49">
        <f t="shared" si="21"/>
        <v>9.1204836696726357</v>
      </c>
      <c r="O58" s="49">
        <f t="shared" si="21"/>
        <v>8.9274544284851327</v>
      </c>
      <c r="P58" s="49">
        <f t="shared" si="21"/>
        <v>8.7391038330190707</v>
      </c>
      <c r="Q58" s="49">
        <f t="shared" si="21"/>
        <v>8.5552841332708525</v>
      </c>
    </row>
    <row r="59" spans="2:17" x14ac:dyDescent="0.3">
      <c r="B59" s="47" t="s">
        <v>115</v>
      </c>
      <c r="C59" s="47"/>
      <c r="D59" s="47"/>
      <c r="E59" s="48">
        <f ca="1">summary!$L$9/E50*E20/12</f>
        <v>4.7081524079041435</v>
      </c>
      <c r="F59" s="48">
        <f ca="1">summary!$L$9/F50*F20/12</f>
        <v>14.452636900818218</v>
      </c>
      <c r="G59" s="48">
        <f ca="1">summary!$L$9/G50*G20/12</f>
        <v>14.877276232440197</v>
      </c>
      <c r="H59" s="48">
        <f ca="1">summary!$L$9/H50*H20/12</f>
        <v>13.801604768044177</v>
      </c>
      <c r="I59" s="48">
        <f ca="1">summary!$L$9/I50*I20/12</f>
        <v>13.545107889494078</v>
      </c>
      <c r="J59" s="48">
        <f ca="1">summary!$L$9/J50*J20/12</f>
        <v>13.134575357665414</v>
      </c>
      <c r="K59" s="49">
        <f ca="1">summary!$L$9/K50*K20/12</f>
        <v>12.597755923175557</v>
      </c>
      <c r="L59" s="49">
        <f ca="1">summary!$L$9/L50*L20/12</f>
        <v>12.164553102501197</v>
      </c>
      <c r="M59" s="49">
        <f ca="1">summary!$L$9/M50*M20/12</f>
        <v>11.69590907096886</v>
      </c>
      <c r="N59" s="49">
        <f ca="1">summary!$L$9/N50*N20/12</f>
        <v>11.443270489068171</v>
      </c>
      <c r="O59" s="49">
        <f ca="1">summary!$L$9/O50*O20/12</f>
        <v>11.201080940880814</v>
      </c>
      <c r="P59" s="49">
        <f ca="1">summary!$L$9/P50*P20/12</f>
        <v>10.964761586693257</v>
      </c>
      <c r="Q59" s="49">
        <f ca="1">summary!$L$9/Q50*Q20/12</f>
        <v>10.734127047821959</v>
      </c>
    </row>
    <row r="60" spans="2:17" x14ac:dyDescent="0.3">
      <c r="B60" s="47"/>
      <c r="C60" s="47"/>
      <c r="D60" s="47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2:17" x14ac:dyDescent="0.3">
      <c r="B61" s="47" t="s">
        <v>299</v>
      </c>
      <c r="C61" s="47"/>
      <c r="D61" s="47"/>
      <c r="E61" s="50">
        <f>SUM('detailed-financials'!E80,'detailed-financials'!E87,-'detailed-financials'!E58)</f>
        <v>-12073</v>
      </c>
      <c r="F61" s="50">
        <f>SUM('detailed-financials'!F80,'detailed-financials'!F87,-'detailed-financials'!F58)</f>
        <v>10908</v>
      </c>
      <c r="G61" s="50">
        <f>SUM('detailed-financials'!G80,'detailed-financials'!G87,-'detailed-financials'!G58)</f>
        <v>10145</v>
      </c>
      <c r="H61" s="50">
        <f>SUM('detailed-financials'!H80,'detailed-financials'!H87,-'detailed-financials'!H58)</f>
        <v>10787</v>
      </c>
      <c r="I61" s="50">
        <f>SUM('detailed-financials'!I80,'detailed-financials'!I87,-'detailed-financials'!I58)</f>
        <v>10068</v>
      </c>
      <c r="J61" s="50">
        <f>SUM('detailed-financials'!J80,'detailed-financials'!J87,-'detailed-financials'!J58)</f>
        <v>11352</v>
      </c>
      <c r="K61" s="51">
        <f>SUM('detailed-financials'!K80,'detailed-financials'!K87,-'detailed-financials'!K58)</f>
        <v>11544.244458477298</v>
      </c>
      <c r="L61" s="51">
        <f>SUM('detailed-financials'!L80,'detailed-financials'!L87,-'detailed-financials'!L58)</f>
        <v>11983.348166282716</v>
      </c>
      <c r="M61" s="51">
        <f>SUM('detailed-financials'!M80,'detailed-financials'!M87,-'detailed-financials'!M58)</f>
        <v>12740.45523399087</v>
      </c>
      <c r="N61" s="51">
        <f>SUM('detailed-financials'!N80,'detailed-financials'!N87,-'detailed-financials'!N58)</f>
        <v>12387.024249492721</v>
      </c>
      <c r="O61" s="51">
        <f>SUM('detailed-financials'!O80,'detailed-financials'!O87,-'detailed-financials'!O58)</f>
        <v>12566.751090326752</v>
      </c>
      <c r="P61" s="51">
        <f>SUM('detailed-financials'!P80,'detailed-financials'!P87,-'detailed-financials'!P58)</f>
        <v>12750.185297281343</v>
      </c>
      <c r="Q61" s="51">
        <f>SUM('detailed-financials'!Q80,'detailed-financials'!Q87,-'detailed-financials'!Q58)</f>
        <v>12937.39927941152</v>
      </c>
    </row>
    <row r="62" spans="2:17" x14ac:dyDescent="0.3">
      <c r="B62" s="47" t="s">
        <v>298</v>
      </c>
      <c r="C62" s="47"/>
      <c r="D62" s="47"/>
      <c r="E62" s="48">
        <f>SUM($D$12*$D$13/10^8,-SUM($L$10:$L$13))/SUM('detailed-financials'!E80,'detailed-financials'!E87,-'detailed-financials'!E58)*E20/12</f>
        <v>-9.5268135757475356</v>
      </c>
      <c r="F62" s="48">
        <f>SUM($D$12*$D$13/10^8,-SUM($L$10:$L$13))/SUM('detailed-financials'!F80,'detailed-financials'!F87,-'detailed-financials'!F58)*F20/12</f>
        <v>10.54429962412908</v>
      </c>
      <c r="G62" s="48">
        <f>SUM($D$12*$D$13/10^8,-SUM($L$10:$L$13))/SUM('detailed-financials'!G80,'detailed-financials'!G87,-'detailed-financials'!G58)*G20/12</f>
        <v>11.3373307343519</v>
      </c>
      <c r="H62" s="48">
        <f>SUM($D$12*$D$13/10^8,-SUM($L$10:$L$13))/SUM('detailed-financials'!H80,'detailed-financials'!H87,-'detailed-financials'!H58)*H20/12</f>
        <v>10.662577204041902</v>
      </c>
      <c r="I62" s="48">
        <f>SUM($D$12*$D$13/10^8,-SUM($L$10:$L$13))/SUM('detailed-financials'!I80,'detailed-financials'!I87,-'detailed-financials'!I58)*I20/12</f>
        <v>11.424038567739373</v>
      </c>
      <c r="J62" s="48">
        <f>SUM($D$12*$D$13/10^8,-SUM($L$10:$L$13))/SUM('detailed-financials'!J80,'detailed-financials'!J87,-'detailed-financials'!J58)*J20/12</f>
        <v>10.131890442212827</v>
      </c>
      <c r="K62" s="49">
        <f>SUM($D$12*$D$13/10^8,-SUM($L$10:$L$13))/SUM('detailed-financials'!K80,'detailed-financials'!K87,-'detailed-financials'!K58)*K20/12</f>
        <v>9.9631656895085303</v>
      </c>
      <c r="L62" s="49">
        <f>SUM($D$12*$D$13/10^8,-SUM($L$10:$L$13))/SUM('detailed-financials'!L80,'detailed-financials'!L87,-'detailed-financials'!L58)*L20/12</f>
        <v>9.5980871709645754</v>
      </c>
      <c r="M62" s="49">
        <f>SUM($D$12*$D$13/10^8,-SUM($L$10:$L$13))/SUM('detailed-financials'!M80,'detailed-financials'!M87,-'detailed-financials'!M58)*M20/12</f>
        <v>9.0277166857539015</v>
      </c>
      <c r="N62" s="49">
        <f>SUM($D$12*$D$13/10^8,-SUM($L$10:$L$13))/SUM('detailed-financials'!N80,'detailed-financials'!N87,-'detailed-financials'!N58)*N20/12</f>
        <v>9.2852987112469929</v>
      </c>
      <c r="O62" s="49">
        <f>SUM($D$12*$D$13/10^8,-SUM($L$10:$L$13))/SUM('detailed-financials'!O80,'detailed-financials'!O87,-'detailed-financials'!O58)*O20/12</f>
        <v>9.1525024625127198</v>
      </c>
      <c r="P62" s="49">
        <f>SUM($D$12*$D$13/10^8,-SUM($L$10:$L$13))/SUM('detailed-financials'!P80,'detailed-financials'!P87,-'detailed-financials'!P58)*P20/12</f>
        <v>9.0208273541345729</v>
      </c>
      <c r="Q62" s="49">
        <f>SUM($D$12*$D$13/10^8,-SUM($L$10:$L$13))/SUM('detailed-financials'!Q80,'detailed-financials'!Q87,-'detailed-financials'!Q58)*Q20/12</f>
        <v>8.8902891389490879</v>
      </c>
    </row>
    <row r="64" spans="2:17" x14ac:dyDescent="0.3">
      <c r="B64" s="2" t="str">
        <f>"Discounted Cash Flow ("&amp;cover!E10&amp;")"</f>
        <v>Discounted Cash Flow (£m)</v>
      </c>
      <c r="C64" s="2"/>
      <c r="D64" s="5" t="s">
        <v>78</v>
      </c>
      <c r="E64" s="5">
        <f t="shared" ref="E64:K64" si="22">YEAR(E66)</f>
        <v>2023</v>
      </c>
      <c r="F64" s="2">
        <f t="shared" si="22"/>
        <v>2024</v>
      </c>
      <c r="G64" s="2">
        <f t="shared" si="22"/>
        <v>2025</v>
      </c>
      <c r="H64" s="5">
        <f t="shared" si="22"/>
        <v>2026</v>
      </c>
      <c r="I64" s="5">
        <f t="shared" si="22"/>
        <v>2027</v>
      </c>
      <c r="J64" s="5">
        <f t="shared" si="22"/>
        <v>2028</v>
      </c>
      <c r="K64" s="5">
        <f t="shared" si="22"/>
        <v>2029</v>
      </c>
      <c r="L64" s="5" t="s">
        <v>79</v>
      </c>
    </row>
    <row r="65" spans="2:12" x14ac:dyDescent="0.3">
      <c r="E65" s="1"/>
    </row>
    <row r="66" spans="2:12" x14ac:dyDescent="0.3">
      <c r="B66" s="1" t="s">
        <v>15</v>
      </c>
      <c r="D66" s="16">
        <f ca="1">D10</f>
        <v>45081</v>
      </c>
      <c r="E66" s="16">
        <f>EOMONTH(D11,12)</f>
        <v>45291</v>
      </c>
      <c r="F66" s="16">
        <f t="shared" ref="F66:K66" si="23">DATE(YEAR(E66)+1,MONTH(E66),DAY(E66))</f>
        <v>45657</v>
      </c>
      <c r="G66" s="16">
        <f t="shared" si="23"/>
        <v>46022</v>
      </c>
      <c r="H66" s="16">
        <f t="shared" si="23"/>
        <v>46387</v>
      </c>
      <c r="I66" s="16">
        <f t="shared" si="23"/>
        <v>46752</v>
      </c>
      <c r="J66" s="16">
        <f t="shared" si="23"/>
        <v>47118</v>
      </c>
      <c r="K66" s="16">
        <f t="shared" si="23"/>
        <v>47483</v>
      </c>
      <c r="L66" s="16">
        <f>K66</f>
        <v>47483</v>
      </c>
    </row>
    <row r="67" spans="2:12" x14ac:dyDescent="0.3">
      <c r="B67" s="1" t="s">
        <v>105</v>
      </c>
      <c r="D67" s="16"/>
      <c r="E67" s="18">
        <f t="shared" ref="E67:L67" si="24">MIN(1,YEARFRAC($D$11,E66))</f>
        <v>1</v>
      </c>
      <c r="F67" s="18">
        <f t="shared" si="24"/>
        <v>1</v>
      </c>
      <c r="G67" s="18">
        <f t="shared" si="24"/>
        <v>1</v>
      </c>
      <c r="H67" s="18">
        <f t="shared" si="24"/>
        <v>1</v>
      </c>
      <c r="I67" s="18">
        <f t="shared" si="24"/>
        <v>1</v>
      </c>
      <c r="J67" s="18">
        <f t="shared" si="24"/>
        <v>1</v>
      </c>
      <c r="K67" s="18">
        <f t="shared" si="24"/>
        <v>1</v>
      </c>
      <c r="L67" s="18">
        <f t="shared" si="24"/>
        <v>1</v>
      </c>
    </row>
    <row r="68" spans="2:12" x14ac:dyDescent="0.3">
      <c r="B68" s="1" t="s">
        <v>80</v>
      </c>
      <c r="E68" s="36">
        <f t="shared" ref="E68:K68" ca="1" si="25">IF($D$66&gt;E66,0,YEARFRAC($D$66,E66))</f>
        <v>0.57499999999999996</v>
      </c>
      <c r="F68" s="36">
        <f t="shared" ca="1" si="25"/>
        <v>1.575</v>
      </c>
      <c r="G68" s="36">
        <f t="shared" ca="1" si="25"/>
        <v>2.5750000000000002</v>
      </c>
      <c r="H68" s="36">
        <f t="shared" ca="1" si="25"/>
        <v>3.5750000000000002</v>
      </c>
      <c r="I68" s="36">
        <f t="shared" ca="1" si="25"/>
        <v>4.5750000000000002</v>
      </c>
      <c r="J68" s="36">
        <f t="shared" ca="1" si="25"/>
        <v>5.5750000000000002</v>
      </c>
      <c r="K68" s="36">
        <f t="shared" ca="1" si="25"/>
        <v>6.5750000000000002</v>
      </c>
      <c r="L68" s="36">
        <f ca="1">K68</f>
        <v>6.5750000000000002</v>
      </c>
    </row>
    <row r="69" spans="2:12" x14ac:dyDescent="0.3">
      <c r="B69" s="1" t="s">
        <v>37</v>
      </c>
      <c r="D69" s="19"/>
      <c r="E69" s="24">
        <f>INDEX('detailed-financials'!$E$57:$ZU$57,MATCH(summary!E66,'detailed-financials'!$E$6:$ZU$6,0))</f>
        <v>11455.181409665962</v>
      </c>
      <c r="F69" s="24">
        <f>INDEX('detailed-financials'!$E$57:$ZU$57,MATCH(summary!F66,'detailed-financials'!$E$6:$ZU$6,0))</f>
        <v>11863.122158182523</v>
      </c>
      <c r="G69" s="24">
        <f>INDEX('detailed-financials'!$E$57:$ZU$57,MATCH(summary!G66,'detailed-financials'!$E$6:$ZU$6,0))</f>
        <v>12338.466260213125</v>
      </c>
      <c r="H69" s="24">
        <f>INDEX('detailed-financials'!$E$57:$ZU$57,MATCH(summary!H66,'detailed-financials'!$E$6:$ZU$6,0))</f>
        <v>12610.868509359258</v>
      </c>
      <c r="I69" s="24">
        <f>INDEX('detailed-financials'!$E$57:$ZU$57,MATCH(summary!I66,'detailed-financials'!$E$6:$ZU$6,0))</f>
        <v>12883.540456169751</v>
      </c>
      <c r="J69" s="24">
        <f>INDEX('detailed-financials'!$E$57:$ZU$57,MATCH(summary!J66,'detailed-financials'!$E$6:$ZU$6,0))</f>
        <v>13161.214524700912</v>
      </c>
      <c r="K69" s="24">
        <f>INDEX('detailed-financials'!$E$57:$ZU$57,MATCH(summary!K66,'detailed-financials'!$E$6:$ZU$6,0))</f>
        <v>13443.997710456715</v>
      </c>
      <c r="L69" s="62">
        <f>K69*(1+$D$9)</f>
        <v>13712.87766466585</v>
      </c>
    </row>
    <row r="70" spans="2:12" x14ac:dyDescent="0.3">
      <c r="B70" s="21" t="s">
        <v>118</v>
      </c>
      <c r="D70" s="19"/>
      <c r="E70" s="43">
        <f t="shared" ref="E70:L70" si="26">INDEX($H$31:$ZZ$31,MATCH(E66,$H$19:$ZZ$19,0))</f>
        <v>0.25</v>
      </c>
      <c r="F70" s="43">
        <f t="shared" si="26"/>
        <v>0.25</v>
      </c>
      <c r="G70" s="43">
        <f t="shared" si="26"/>
        <v>0.25</v>
      </c>
      <c r="H70" s="43">
        <f t="shared" si="26"/>
        <v>0.25</v>
      </c>
      <c r="I70" s="43">
        <f t="shared" si="26"/>
        <v>0.25</v>
      </c>
      <c r="J70" s="43">
        <f t="shared" si="26"/>
        <v>0.25</v>
      </c>
      <c r="K70" s="43">
        <f t="shared" si="26"/>
        <v>0.25</v>
      </c>
      <c r="L70" s="43">
        <f t="shared" si="26"/>
        <v>0.25</v>
      </c>
    </row>
    <row r="71" spans="2:12" x14ac:dyDescent="0.3">
      <c r="B71" s="1" t="s">
        <v>81</v>
      </c>
      <c r="D71" s="19"/>
      <c r="E71" s="24">
        <f t="shared" ref="E71:K71" si="27">-E69*E70</f>
        <v>-2863.7953524164905</v>
      </c>
      <c r="F71" s="24">
        <f t="shared" si="27"/>
        <v>-2965.7805395456307</v>
      </c>
      <c r="G71" s="24">
        <f t="shared" si="27"/>
        <v>-3084.6165650532812</v>
      </c>
      <c r="H71" s="24">
        <f t="shared" si="27"/>
        <v>-3152.7171273398144</v>
      </c>
      <c r="I71" s="24">
        <f t="shared" si="27"/>
        <v>-3220.8851140424376</v>
      </c>
      <c r="J71" s="24">
        <f t="shared" si="27"/>
        <v>-3290.303631175228</v>
      </c>
      <c r="K71" s="24">
        <f t="shared" si="27"/>
        <v>-3360.9994276141788</v>
      </c>
      <c r="L71" s="62">
        <f>-L69*L70</f>
        <v>-3428.2194161664625</v>
      </c>
    </row>
    <row r="72" spans="2:12" x14ac:dyDescent="0.3">
      <c r="B72" s="1" t="s">
        <v>82</v>
      </c>
      <c r="D72" s="19"/>
      <c r="E72" s="24">
        <f>-INDEX('detailed-financials'!$E$56:$ZU$56,MATCH(summary!E66,'detailed-financials'!$E$6:$ZU$6,0))</f>
        <v>1324.7148984157589</v>
      </c>
      <c r="F72" s="24">
        <f>-INDEX('detailed-financials'!$E$56:$ZU$56,MATCH(summary!F66,'detailed-financials'!$E$6:$ZU$6,0))</f>
        <v>1314.62054657249</v>
      </c>
      <c r="G72" s="24">
        <f>-INDEX('detailed-financials'!$E$56:$ZU$56,MATCH(summary!G66,'detailed-financials'!$E$6:$ZU$6,0))</f>
        <v>1305.4258280168506</v>
      </c>
      <c r="H72" s="24">
        <f>-INDEX('detailed-financials'!$E$56:$ZU$56,MATCH(summary!H66,'detailed-financials'!$E$6:$ZU$6,0))</f>
        <v>1297.0614206353159</v>
      </c>
      <c r="I72" s="24">
        <f>-INDEX('detailed-financials'!$E$56:$ZU$56,MATCH(summary!I66,'detailed-financials'!$E$6:$ZU$6,0))</f>
        <v>1293.7080724247148</v>
      </c>
      <c r="J72" s="24">
        <f>-INDEX('detailed-financials'!$E$56:$ZU$56,MATCH(summary!J66,'detailed-financials'!$E$6:$ZU$6,0))</f>
        <v>1290.7389744654445</v>
      </c>
      <c r="K72" s="24">
        <f>-INDEX('detailed-financials'!$E$56:$ZU$56,MATCH(summary!K66,'detailed-financials'!$E$6:$ZU$6,0))</f>
        <v>1288.15485869297</v>
      </c>
      <c r="L72" s="62">
        <f>K72/$K$69*$L$69</f>
        <v>1313.9179558668295</v>
      </c>
    </row>
    <row r="73" spans="2:12" x14ac:dyDescent="0.3">
      <c r="B73" s="1" t="s">
        <v>83</v>
      </c>
      <c r="D73" s="19"/>
      <c r="E73" s="24">
        <f>INDEX('detailed-financials'!$E$83:$ZU$83,MATCH(summary!E66,'detailed-financials'!$E$6:$ZU$6,0))</f>
        <v>0</v>
      </c>
      <c r="F73" s="24">
        <f>INDEX('detailed-financials'!$E$83:$ZU$83,MATCH(summary!F66,'detailed-financials'!$E$6:$ZU$6,0))</f>
        <v>0</v>
      </c>
      <c r="G73" s="24">
        <f>INDEX('detailed-financials'!$E$83:$ZU$83,MATCH(summary!G66,'detailed-financials'!$E$6:$ZU$6,0))</f>
        <v>0</v>
      </c>
      <c r="H73" s="24">
        <f>INDEX('detailed-financials'!$E$83:$ZU$83,MATCH(summary!H66,'detailed-financials'!$E$6:$ZU$6,0))</f>
        <v>0</v>
      </c>
      <c r="I73" s="24">
        <f>INDEX('detailed-financials'!$E$83:$ZU$83,MATCH(summary!I66,'detailed-financials'!$E$6:$ZU$6,0))</f>
        <v>0</v>
      </c>
      <c r="J73" s="24">
        <f>INDEX('detailed-financials'!$E$83:$ZU$83,MATCH(summary!J66,'detailed-financials'!$E$6:$ZU$6,0))</f>
        <v>0</v>
      </c>
      <c r="K73" s="24">
        <f>INDEX('detailed-financials'!$E$83:$ZU$83,MATCH(summary!K66,'detailed-financials'!$E$6:$ZU$6,0))</f>
        <v>0</v>
      </c>
      <c r="L73" s="62">
        <f>K73/$K$69*$L$69</f>
        <v>0</v>
      </c>
    </row>
    <row r="74" spans="2:12" x14ac:dyDescent="0.3">
      <c r="B74" s="1" t="s">
        <v>84</v>
      </c>
      <c r="D74" s="19"/>
      <c r="E74" s="24">
        <f>INDEX('detailed-financials'!$E$76:$ZU$76,MATCH(summary!E66,'detailed-financials'!$E$6:$ZU$6,0))</f>
        <v>-405.35649718793047</v>
      </c>
      <c r="F74" s="24">
        <f>INDEX('detailed-financials'!$E$76:$ZU$76,MATCH(summary!F66,'detailed-financials'!$E$6:$ZU$6,0))</f>
        <v>-213.8139989266665</v>
      </c>
      <c r="G74" s="24">
        <f>INDEX('detailed-financials'!$E$76:$ZU$76,MATCH(summary!G66,'detailed-financials'!$E$6:$ZU$6,0))</f>
        <v>240.67971081417636</v>
      </c>
      <c r="H74" s="24">
        <f>INDEX('detailed-financials'!$E$76:$ZU$76,MATCH(summary!H66,'detailed-financials'!$E$6:$ZU$6,0))</f>
        <v>8.2101842939919152</v>
      </c>
      <c r="I74" s="24">
        <f>INDEX('detailed-financials'!$E$76:$ZU$76,MATCH(summary!I66,'detailed-financials'!$E$6:$ZU$6,0))</f>
        <v>8.3743879798739727</v>
      </c>
      <c r="J74" s="24">
        <f>INDEX('detailed-financials'!$E$76:$ZU$76,MATCH(summary!J66,'detailed-financials'!$E$6:$ZU$6,0))</f>
        <v>8.5418757394700151</v>
      </c>
      <c r="K74" s="24">
        <f>INDEX('detailed-financials'!$E$76:$ZU$76,MATCH(summary!K66,'detailed-financials'!$E$6:$ZU$6,0))</f>
        <v>8.7127132542564141</v>
      </c>
      <c r="L74" s="62">
        <f>(L69-K69)/(K69-E69)*SUM(E74:K74)</f>
        <v>-46.595511536789601</v>
      </c>
    </row>
    <row r="75" spans="2:12" x14ac:dyDescent="0.3">
      <c r="B75" s="1" t="s">
        <v>315</v>
      </c>
      <c r="D75" s="19"/>
      <c r="E75" s="24">
        <f>INDEX('detailed-financials'!$E$53:$ZU$53,MATCH(summary!E66,'detailed-financials'!$E$6:$ZU$6,0))</f>
        <v>442</v>
      </c>
      <c r="F75" s="24">
        <f>INDEX('detailed-financials'!$E$53:$ZU$53,MATCH(summary!F66,'detailed-financials'!$E$6:$ZU$6,0))</f>
        <v>442</v>
      </c>
      <c r="G75" s="24">
        <f>INDEX('detailed-financials'!$E$53:$ZU$53,MATCH(summary!G66,'detailed-financials'!$E$6:$ZU$6,0))</f>
        <v>442</v>
      </c>
      <c r="H75" s="24">
        <f>INDEX('detailed-financials'!$E$53:$ZU$53,MATCH(summary!H66,'detailed-financials'!$E$6:$ZU$6,0))</f>
        <v>442</v>
      </c>
      <c r="I75" s="24">
        <f>INDEX('detailed-financials'!$E$53:$ZU$53,MATCH(summary!I66,'detailed-financials'!$E$6:$ZU$6,0))</f>
        <v>442</v>
      </c>
      <c r="J75" s="24">
        <f>INDEX('detailed-financials'!$E$53:$ZU$53,MATCH(summary!J66,'detailed-financials'!$E$6:$ZU$6,0))</f>
        <v>442</v>
      </c>
      <c r="K75" s="24">
        <f>INDEX('detailed-financials'!$E$53:$ZU$53,MATCH(summary!K66,'detailed-financials'!$E$6:$ZU$6,0))</f>
        <v>442</v>
      </c>
      <c r="L75" s="62">
        <f>K75/$K$69*$L$69</f>
        <v>450.84</v>
      </c>
    </row>
    <row r="76" spans="2:12" x14ac:dyDescent="0.3">
      <c r="B76" s="1" t="s">
        <v>316</v>
      </c>
      <c r="D76" s="19"/>
      <c r="E76" s="24">
        <f>INDEX('detailed-financials'!$E$62:$ZU$62,MATCH(summary!E66,'detailed-financials'!$E$6:$ZU$6,0))</f>
        <v>-183.2494143010378</v>
      </c>
      <c r="F76" s="24">
        <f>INDEX('detailed-financials'!$E$62:$ZU$62,MATCH(summary!F66,'detailed-financials'!$E$6:$ZU$6,0))</f>
        <v>-191.29381994663171</v>
      </c>
      <c r="G76" s="24">
        <f>INDEX('detailed-financials'!$E$62:$ZU$62,MATCH(summary!G66,'detailed-financials'!$E$6:$ZU$6,0))</f>
        <v>-200.66738900507914</v>
      </c>
      <c r="H76" s="24">
        <f>INDEX('detailed-financials'!$E$62:$ZU$62,MATCH(summary!H66,'detailed-financials'!$E$6:$ZU$6,0))</f>
        <v>-206.03903721348232</v>
      </c>
      <c r="I76" s="24">
        <f>INDEX('detailed-financials'!$E$62:$ZU$62,MATCH(summary!I66,'detailed-financials'!$E$6:$ZU$6,0))</f>
        <v>-211.41600373691449</v>
      </c>
      <c r="J76" s="24">
        <f>INDEX('detailed-financials'!$E$62:$ZU$62,MATCH(summary!J66,'detailed-financials'!$E$6:$ZU$6,0))</f>
        <v>-216.89160982100839</v>
      </c>
      <c r="K76" s="24">
        <f>INDEX('detailed-financials'!$E$62:$ZU$62,MATCH(summary!K66,'detailed-financials'!$E$6:$ZU$6,0))</f>
        <v>-222.46796536834017</v>
      </c>
      <c r="L76" s="62">
        <f>K76/$K$69*$L$69</f>
        <v>-226.91732467570696</v>
      </c>
    </row>
    <row r="77" spans="2:12" x14ac:dyDescent="0.3">
      <c r="B77" s="1" t="s">
        <v>86</v>
      </c>
      <c r="D77" s="19"/>
      <c r="E77" s="24">
        <f>SUM(E71:E76,E69)*E67</f>
        <v>9769.4950441762612</v>
      </c>
      <c r="F77" s="24">
        <f t="shared" ref="F77:L77" si="28">SUM(F71:F76,F69)*F67</f>
        <v>10248.854346336084</v>
      </c>
      <c r="G77" s="24">
        <f t="shared" si="28"/>
        <v>11041.287844985791</v>
      </c>
      <c r="H77" s="24">
        <f t="shared" si="28"/>
        <v>10999.383949735269</v>
      </c>
      <c r="I77" s="24">
        <f t="shared" si="28"/>
        <v>11195.321798794987</v>
      </c>
      <c r="J77" s="24">
        <f t="shared" si="28"/>
        <v>11395.30013390959</v>
      </c>
      <c r="K77" s="24">
        <f t="shared" si="28"/>
        <v>11599.397889421423</v>
      </c>
      <c r="L77" s="24">
        <f t="shared" si="28"/>
        <v>11775.90336815372</v>
      </c>
    </row>
    <row r="78" spans="2:12" x14ac:dyDescent="0.3">
      <c r="B78" s="1" t="s">
        <v>97</v>
      </c>
      <c r="D78" s="19"/>
      <c r="E78" s="19"/>
      <c r="F78" s="19"/>
      <c r="G78" s="19"/>
      <c r="H78" s="19"/>
      <c r="I78" s="19"/>
      <c r="J78" s="19"/>
      <c r="K78" s="19"/>
      <c r="L78" s="37">
        <f>($L$77*(1+$D$9))/($D$8-$D$9)</f>
        <v>160869.36587290536</v>
      </c>
    </row>
    <row r="79" spans="2:12" x14ac:dyDescent="0.3">
      <c r="B79" s="1" t="s">
        <v>98</v>
      </c>
      <c r="D79" s="19"/>
      <c r="E79" s="24">
        <f t="shared" ref="E79:K79" ca="1" si="29">E77/(1+$D$8)^E68</f>
        <v>9274.3878075674711</v>
      </c>
      <c r="F79" s="24">
        <f t="shared" ca="1" si="29"/>
        <v>8888.0594688637429</v>
      </c>
      <c r="G79" s="24">
        <f t="shared" ca="1" si="29"/>
        <v>8747.2161485284742</v>
      </c>
      <c r="H79" s="24">
        <f t="shared" ca="1" si="29"/>
        <v>7960.4383618417387</v>
      </c>
      <c r="I79" s="24">
        <f t="shared" ca="1" si="29"/>
        <v>7401.5674134385445</v>
      </c>
      <c r="J79" s="24">
        <f t="shared" ca="1" si="29"/>
        <v>6882.2648492724074</v>
      </c>
      <c r="K79" s="24">
        <f t="shared" ca="1" si="29"/>
        <v>6399.6991014567402</v>
      </c>
      <c r="L79" s="24">
        <f ca="1">L78/(1+$D$8)^L68</f>
        <v>88755.946303700781</v>
      </c>
    </row>
    <row r="80" spans="2:12" x14ac:dyDescent="0.3">
      <c r="D80" s="19"/>
      <c r="E80" s="20"/>
      <c r="F80" s="19"/>
      <c r="G80" s="19"/>
      <c r="H80" s="19"/>
      <c r="I80" s="19"/>
      <c r="J80" s="19"/>
    </row>
    <row r="81" spans="2:11" x14ac:dyDescent="0.3">
      <c r="B81" s="1" t="s">
        <v>305</v>
      </c>
      <c r="C81" s="93">
        <f ca="1">SUM(E79:L79)</f>
        <v>144309.5794546699</v>
      </c>
    </row>
    <row r="87" spans="2:11" x14ac:dyDescent="0.3">
      <c r="K87" s="1" t="s">
        <v>303</v>
      </c>
    </row>
  </sheetData>
  <sheetProtection algorithmName="SHA-512" hashValue="9kLp2/nPdb4TTjzck7C3RML7KTF41H0ptBcs/+vNaBpo8Qhf0qwEHTTC+W9feyfAFL0mqnPyW03jj+dI+WEb8Q==" saltValue="g23lHAnOPzl98mUdOBIsCA==" spinCount="100000" sheet="1" selectLockedCells="1"/>
  <conditionalFormatting sqref="D17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5" id="{E8FF0C00-272B-44E0-9369-8764AD5348F8}">
            <xm:f>D$15&gt;cover!$E$14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E69:F69 H69:K69 E72:F76 H72:K76</xm:sqref>
        </x14:conditionalFormatting>
        <x14:conditionalFormatting xmlns:xm="http://schemas.microsoft.com/office/excel/2006/main">
          <x14:cfRule type="expression" priority="31" id="{E3298429-3BA3-4781-AF4F-0CE3148DC9A9}">
            <xm:f>E$19&gt;cover!$E$13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E44:J49 E51:J51 E53:J53 E24:J40</xm:sqref>
        </x14:conditionalFormatting>
        <x14:conditionalFormatting xmlns:xm="http://schemas.microsoft.com/office/excel/2006/main">
          <x14:cfRule type="expression" priority="24" id="{699A536D-8A4B-46C5-B510-BA0959C6B272}">
            <xm:f>#REF!&gt;cover!$E$14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F69 H69 F72:F76 H72:H76</xm:sqref>
        </x14:conditionalFormatting>
        <x14:conditionalFormatting xmlns:xm="http://schemas.microsoft.com/office/excel/2006/main">
          <x14:cfRule type="expression" priority="71" id="{E8FF0C00-272B-44E0-9369-8764AD5348F8}">
            <xm:f>#REF!&gt;cover!$E$14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I69 K69 I72:I76 K72:K76</xm:sqref>
        </x14:conditionalFormatting>
        <x14:conditionalFormatting xmlns:xm="http://schemas.microsoft.com/office/excel/2006/main">
          <x14:cfRule type="expression" priority="21" id="{8B205539-E932-4649-B9DE-254DB7AA75FF}">
            <xm:f>#REF!&gt;cover!$E$14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J69 J72:J76</xm:sqref>
        </x14:conditionalFormatting>
        <x14:conditionalFormatting xmlns:xm="http://schemas.microsoft.com/office/excel/2006/main">
          <x14:cfRule type="expression" priority="77" id="{E3298429-3BA3-4781-AF4F-0CE3148DC9A9}">
            <xm:f>V$19&lt;cover!$E$13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K24:Q24 K40:Q40</xm:sqref>
        </x14:conditionalFormatting>
        <x14:conditionalFormatting xmlns:xm="http://schemas.microsoft.com/office/excel/2006/main">
          <x14:cfRule type="expression" priority="17" id="{D099510A-92A1-483C-B2CA-A57978D55279}">
            <xm:f>V$19&lt;cover!$E$13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K26:Q27 K29:Q35</xm:sqref>
        </x14:conditionalFormatting>
        <x14:conditionalFormatting xmlns:xm="http://schemas.microsoft.com/office/excel/2006/main">
          <x14:cfRule type="expression" priority="1" id="{CC38A857-83C9-4F08-A3F7-FF21EC131854}">
            <xm:f>V$19&lt;cover!$E$13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K37:Q38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3B2A8-5C40-4A5F-9E02-CB49A082C27D}">
  <sheetPr>
    <tabColor theme="4" tint="0.79998168889431442"/>
  </sheetPr>
  <dimension ref="A1:I26"/>
  <sheetViews>
    <sheetView workbookViewId="0">
      <selection activeCell="I19" sqref="I19"/>
    </sheetView>
  </sheetViews>
  <sheetFormatPr defaultColWidth="9.109375" defaultRowHeight="14.4" x14ac:dyDescent="0.3"/>
  <cols>
    <col min="1" max="1" width="2.6640625" style="1" customWidth="1"/>
    <col min="2" max="4" width="12.6640625" style="1" customWidth="1"/>
    <col min="5" max="5" width="12.6640625" style="8" customWidth="1"/>
    <col min="6" max="9" width="12.6640625" style="1" customWidth="1"/>
    <col min="10" max="10" width="14.33203125" style="1" bestFit="1" customWidth="1"/>
    <col min="11" max="50" width="12.6640625" style="1" customWidth="1"/>
    <col min="51" max="16384" width="9.109375" style="1"/>
  </cols>
  <sheetData>
    <row r="1" spans="1:9" ht="33.6" x14ac:dyDescent="0.65">
      <c r="B1" s="65" t="s">
        <v>130</v>
      </c>
    </row>
    <row r="2" spans="1:9" s="15" customFormat="1" ht="15" thickBot="1" x14ac:dyDescent="0.35">
      <c r="A2" s="13"/>
      <c r="B2" s="14" t="str">
        <f ca="1">UPPER(cover!E8&amp;" - "&amp;DAY(cover!E12)&amp;"/"&amp;MONTH(cover!E12)&amp;"/"&amp;YEAR(cover!E12))</f>
        <v>BRITISH AMERICAN TOBACCO PLC - 4/6/2023</v>
      </c>
      <c r="E2" s="13"/>
    </row>
    <row r="3" spans="1:9" ht="15" thickTop="1" x14ac:dyDescent="0.3">
      <c r="B3" s="25" t="str">
        <f>IF(checks!E10&lt;&gt;0,"**ERROR**","")</f>
        <v/>
      </c>
    </row>
    <row r="4" spans="1:9" s="3" customFormat="1" x14ac:dyDescent="0.3">
      <c r="A4" s="5"/>
      <c r="B4" s="2" t="s">
        <v>58</v>
      </c>
      <c r="E4" s="4"/>
    </row>
    <row r="6" spans="1:9" x14ac:dyDescent="0.3">
      <c r="B6" s="2" t="s">
        <v>109</v>
      </c>
      <c r="C6" s="3"/>
      <c r="D6" s="3"/>
      <c r="E6" s="4"/>
      <c r="F6" s="4"/>
      <c r="G6" s="4"/>
      <c r="H6" s="4"/>
      <c r="I6" s="4"/>
    </row>
    <row r="8" spans="1:9" x14ac:dyDescent="0.3">
      <c r="B8" s="2" t="s">
        <v>93</v>
      </c>
      <c r="C8" s="3"/>
      <c r="D8" s="3"/>
      <c r="E8" s="4"/>
      <c r="G8" s="2" t="s">
        <v>58</v>
      </c>
      <c r="H8" s="2"/>
      <c r="I8" s="5"/>
    </row>
    <row r="10" spans="1:9" x14ac:dyDescent="0.3">
      <c r="B10" s="1" t="s">
        <v>71</v>
      </c>
      <c r="E10" s="63">
        <v>4.4400000000000002E-2</v>
      </c>
      <c r="G10" s="1" t="s">
        <v>59</v>
      </c>
      <c r="I10" s="34">
        <f>E16</f>
        <v>0.9</v>
      </c>
    </row>
    <row r="11" spans="1:9" x14ac:dyDescent="0.3">
      <c r="B11" s="1" t="s">
        <v>72</v>
      </c>
      <c r="E11" s="63">
        <v>6.5000000000000002E-2</v>
      </c>
      <c r="F11" s="42"/>
      <c r="G11" s="1" t="s">
        <v>60</v>
      </c>
      <c r="I11" s="32">
        <f>-summary!L10/WACC!E13</f>
        <v>0.61955532212885156</v>
      </c>
    </row>
    <row r="12" spans="1:9" x14ac:dyDescent="0.3">
      <c r="B12" s="1" t="s">
        <v>73</v>
      </c>
      <c r="E12" s="63">
        <f>summary!K30</f>
        <v>0.05</v>
      </c>
      <c r="F12" s="42"/>
      <c r="G12" s="1" t="s">
        <v>61</v>
      </c>
      <c r="I12" s="35">
        <f>$E$15</f>
        <v>0.25</v>
      </c>
    </row>
    <row r="13" spans="1:9" x14ac:dyDescent="0.3">
      <c r="B13" s="1" t="s">
        <v>293</v>
      </c>
      <c r="E13" s="59">
        <v>57120</v>
      </c>
      <c r="G13" s="1" t="s">
        <v>62</v>
      </c>
      <c r="I13" s="31">
        <f>I10*(1+(1-I12)*(I11))</f>
        <v>1.318199842436975</v>
      </c>
    </row>
    <row r="14" spans="1:9" x14ac:dyDescent="0.3">
      <c r="B14" s="1" t="s">
        <v>294</v>
      </c>
      <c r="E14" s="64">
        <v>2554.09</v>
      </c>
    </row>
    <row r="15" spans="1:9" x14ac:dyDescent="0.3">
      <c r="B15" s="1" t="s">
        <v>94</v>
      </c>
      <c r="E15" s="63">
        <v>0.25</v>
      </c>
      <c r="G15" s="1" t="s">
        <v>63</v>
      </c>
      <c r="I15" s="35">
        <f>WACC!$E$10</f>
        <v>4.4400000000000002E-2</v>
      </c>
    </row>
    <row r="16" spans="1:9" x14ac:dyDescent="0.3">
      <c r="B16" s="1" t="s">
        <v>312</v>
      </c>
      <c r="E16" s="64">
        <v>0.9</v>
      </c>
      <c r="G16" s="1" t="s">
        <v>64</v>
      </c>
      <c r="I16" s="35">
        <f>WACC!$E$11</f>
        <v>6.5000000000000002E-2</v>
      </c>
    </row>
    <row r="17" spans="2:9" x14ac:dyDescent="0.3">
      <c r="B17" s="1" t="s">
        <v>95</v>
      </c>
      <c r="E17" s="63">
        <v>0</v>
      </c>
      <c r="G17" s="1" t="s">
        <v>65</v>
      </c>
      <c r="I17" s="40">
        <f>$E$17</f>
        <v>0</v>
      </c>
    </row>
    <row r="18" spans="2:9" x14ac:dyDescent="0.3">
      <c r="E18" s="1"/>
      <c r="G18" s="1" t="s">
        <v>66</v>
      </c>
      <c r="I18" s="32">
        <f>I16*I13+I15+I17</f>
        <v>0.13008298975840338</v>
      </c>
    </row>
    <row r="19" spans="2:9" x14ac:dyDescent="0.3">
      <c r="E19" s="1"/>
      <c r="G19" s="1" t="s">
        <v>67</v>
      </c>
      <c r="I19" s="58">
        <f>I18</f>
        <v>0.13008298975840338</v>
      </c>
    </row>
    <row r="20" spans="2:9" x14ac:dyDescent="0.3">
      <c r="E20" s="1"/>
      <c r="I20" s="33"/>
    </row>
    <row r="21" spans="2:9" x14ac:dyDescent="0.3">
      <c r="E21" s="1"/>
      <c r="G21" s="1" t="s">
        <v>68</v>
      </c>
      <c r="I21" s="35">
        <f>WACC!$E$12</f>
        <v>0.05</v>
      </c>
    </row>
    <row r="22" spans="2:9" x14ac:dyDescent="0.3">
      <c r="E22" s="1"/>
      <c r="G22" s="1" t="s">
        <v>69</v>
      </c>
      <c r="I22" s="32">
        <f>I21*(1-I12)</f>
        <v>3.7500000000000006E-2</v>
      </c>
    </row>
    <row r="23" spans="2:9" x14ac:dyDescent="0.3">
      <c r="E23" s="1"/>
      <c r="I23" s="33"/>
    </row>
    <row r="24" spans="2:9" x14ac:dyDescent="0.3">
      <c r="E24" s="1"/>
      <c r="G24" s="1" t="s">
        <v>58</v>
      </c>
      <c r="I24" s="32">
        <f>(I11/(1+I11))*I22+((1-I11/(1+I11))*I19)</f>
        <v>9.4665685230626226E-2</v>
      </c>
    </row>
    <row r="25" spans="2:9" x14ac:dyDescent="0.3">
      <c r="E25" s="1"/>
      <c r="G25" s="1" t="s">
        <v>70</v>
      </c>
      <c r="I25" s="58">
        <f>I24</f>
        <v>9.4665685230626226E-2</v>
      </c>
    </row>
    <row r="26" spans="2:9" x14ac:dyDescent="0.3">
      <c r="E26" s="1"/>
    </row>
  </sheetData>
  <sheetProtection algorithmName="SHA-512" hashValue="a1SeBDGYVPYVAeUXwrP2HIzOZwl+keU4PMBtWUabZHwVm2iASuOHcgDe7GhS07JCkoeKw5ohu3o4UWF8CV6KIQ==" saltValue="ga+JDaGw8bONSSybwd4bTg==" spinCount="100000" sheet="1" selectLockedCells="1"/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4A531-A092-4387-AB46-45A4AD3DAB9E}">
  <sheetPr>
    <tabColor theme="4" tint="0.79998168889431442"/>
  </sheetPr>
  <dimension ref="A1:Q103"/>
  <sheetViews>
    <sheetView zoomScale="74" zoomScaleNormal="100" workbookViewId="0">
      <pane xSplit="4" ySplit="7" topLeftCell="E55" activePane="bottomRight" state="frozen"/>
      <selection activeCell="E9" sqref="E9"/>
      <selection pane="topRight" activeCell="E9" sqref="E9"/>
      <selection pane="bottomLeft" activeCell="E9" sqref="E9"/>
      <selection pane="bottomRight" activeCell="I55" sqref="I55"/>
    </sheetView>
  </sheetViews>
  <sheetFormatPr defaultColWidth="9.109375" defaultRowHeight="14.4" x14ac:dyDescent="0.3"/>
  <cols>
    <col min="1" max="1" width="2.6640625" style="1" customWidth="1"/>
    <col min="2" max="47" width="12.6640625" style="1" customWidth="1"/>
    <col min="48" max="16384" width="9.109375" style="1"/>
  </cols>
  <sheetData>
    <row r="1" spans="1:17" ht="33.6" x14ac:dyDescent="0.65">
      <c r="B1" s="65" t="s">
        <v>130</v>
      </c>
    </row>
    <row r="2" spans="1:17" s="15" customFormat="1" ht="15" thickBot="1" x14ac:dyDescent="0.35">
      <c r="A2" s="13"/>
      <c r="B2" s="14" t="str">
        <f ca="1">UPPER(cover!E8&amp;" - "&amp;DAY(cover!E12)&amp;"/"&amp;MONTH(cover!E12)&amp;"/"&amp;YEAR(cover!E12))</f>
        <v>BRITISH AMERICAN TOBACCO PLC - 4/6/2023</v>
      </c>
    </row>
    <row r="3" spans="1:17" ht="15" thickTop="1" x14ac:dyDescent="0.3">
      <c r="B3" s="25" t="str">
        <f>IF(checks!E10&lt;&gt;0,"**ERROR**","")</f>
        <v/>
      </c>
    </row>
    <row r="4" spans="1:17" s="3" customFormat="1" x14ac:dyDescent="0.3">
      <c r="A4" s="5"/>
      <c r="B4" s="2" t="s">
        <v>14</v>
      </c>
      <c r="D4" s="5" t="str">
        <f>cover!$E$10</f>
        <v>£m</v>
      </c>
    </row>
    <row r="6" spans="1:17" x14ac:dyDescent="0.3">
      <c r="B6" s="1" t="s">
        <v>15</v>
      </c>
      <c r="D6" s="16"/>
      <c r="E6" s="16">
        <v>43100</v>
      </c>
      <c r="F6" s="16">
        <f t="shared" ref="F6:O6" si="0">EOMONTH(E6,12)</f>
        <v>43465</v>
      </c>
      <c r="G6" s="16">
        <f t="shared" si="0"/>
        <v>43830</v>
      </c>
      <c r="H6" s="16">
        <f t="shared" ref="H6:K6" si="1">EOMONTH(G6,12)</f>
        <v>44196</v>
      </c>
      <c r="I6" s="16">
        <f t="shared" si="1"/>
        <v>44561</v>
      </c>
      <c r="J6" s="16">
        <f t="shared" si="1"/>
        <v>44926</v>
      </c>
      <c r="K6" s="16">
        <f t="shared" si="1"/>
        <v>45291</v>
      </c>
      <c r="L6" s="16">
        <f t="shared" si="0"/>
        <v>45657</v>
      </c>
      <c r="M6" s="16">
        <f t="shared" si="0"/>
        <v>46022</v>
      </c>
      <c r="N6" s="16">
        <f t="shared" si="0"/>
        <v>46387</v>
      </c>
      <c r="O6" s="16">
        <f t="shared" si="0"/>
        <v>46752</v>
      </c>
      <c r="P6" s="16">
        <f t="shared" ref="P6:Q6" si="2">EOMONTH(O6,12)</f>
        <v>47118</v>
      </c>
      <c r="Q6" s="16">
        <f t="shared" si="2"/>
        <v>47483</v>
      </c>
    </row>
    <row r="7" spans="1:17" x14ac:dyDescent="0.3">
      <c r="B7" s="1" t="s">
        <v>42</v>
      </c>
      <c r="E7" s="1">
        <v>12</v>
      </c>
      <c r="F7" s="1">
        <f t="shared" ref="F7" si="3">YEAR(F6)*12+MONTH(F6)-YEAR(E6)*12-MONTH(E6)</f>
        <v>12</v>
      </c>
      <c r="G7" s="1">
        <f t="shared" ref="G7" si="4">YEAR(G6)*12+MONTH(G6)-YEAR(F6)*12-MONTH(F6)</f>
        <v>12</v>
      </c>
      <c r="H7" s="1">
        <f t="shared" ref="H7" si="5">YEAR(H6)*12+MONTH(H6)-YEAR(G6)*12-MONTH(G6)</f>
        <v>12</v>
      </c>
      <c r="I7" s="1">
        <f t="shared" ref="I7" si="6">YEAR(I6)*12+MONTH(I6)-YEAR(H6)*12-MONTH(H6)</f>
        <v>12</v>
      </c>
      <c r="J7" s="1">
        <f t="shared" ref="J7:L7" si="7">YEAR(J6)*12+MONTH(J6)-YEAR(I6)*12-MONTH(I6)</f>
        <v>12</v>
      </c>
      <c r="K7" s="1">
        <f t="shared" si="7"/>
        <v>12</v>
      </c>
      <c r="L7" s="1">
        <f t="shared" si="7"/>
        <v>12</v>
      </c>
      <c r="M7" s="1">
        <f t="shared" ref="M7" si="8">YEAR(M6)*12+MONTH(M6)-YEAR(L6)*12-MONTH(L6)</f>
        <v>12</v>
      </c>
      <c r="N7" s="1">
        <f t="shared" ref="N7" si="9">YEAR(N6)*12+MONTH(N6)-YEAR(M6)*12-MONTH(M6)</f>
        <v>12</v>
      </c>
      <c r="O7" s="1">
        <f t="shared" ref="O7" si="10">YEAR(O6)*12+MONTH(O6)-YEAR(N6)*12-MONTH(N6)</f>
        <v>12</v>
      </c>
      <c r="P7" s="1">
        <f t="shared" ref="P7" si="11">YEAR(P6)*12+MONTH(P6)-YEAR(O6)*12-MONTH(O6)</f>
        <v>12</v>
      </c>
      <c r="Q7" s="1">
        <f t="shared" ref="Q7" si="12">YEAR(Q6)*12+MONTH(Q6)-YEAR(P6)*12-MONTH(P6)</f>
        <v>12</v>
      </c>
    </row>
    <row r="10" spans="1:17" x14ac:dyDescent="0.3">
      <c r="B10" s="2" t="s">
        <v>30</v>
      </c>
      <c r="C10" s="3"/>
      <c r="D10" s="3"/>
      <c r="E10" s="4"/>
      <c r="F10" s="4"/>
      <c r="G10" s="4"/>
      <c r="H10" s="4"/>
      <c r="I10" s="4"/>
      <c r="J10" s="4"/>
      <c r="K10" s="4"/>
      <c r="L10" s="4"/>
      <c r="M10" s="5"/>
      <c r="N10" s="5"/>
      <c r="O10" s="5"/>
      <c r="P10" s="5"/>
      <c r="Q10" s="5"/>
    </row>
    <row r="12" spans="1:17" x14ac:dyDescent="0.3">
      <c r="B12" s="1" t="s">
        <v>198</v>
      </c>
      <c r="E12" s="55">
        <f>INDEX(bs!$B$4:$CO$68,MATCH($B12,bs!$A$4:$A$68,0),MATCH(E$6,bs!$B$3:$CO$3,0))</f>
        <v>3131</v>
      </c>
      <c r="F12" s="55">
        <f>INDEX(bs!$B$4:$CO$68,MATCH($B12,bs!$A$4:$A$68,0),MATCH(F$6,bs!$B$3:$CO$3,0))</f>
        <v>2307</v>
      </c>
      <c r="G12" s="55">
        <f>INDEX(bs!$B$4:$CO$68,MATCH($B12,bs!$A$4:$A$68,0),MATCH(G$6,bs!$B$3:$CO$3,0))</f>
        <v>1899</v>
      </c>
      <c r="H12" s="55">
        <f>INDEX(bs!$B$4:$CO$68,MATCH($B12,bs!$A$4:$A$68,0),MATCH(H$6,bs!$B$3:$CO$3,0))</f>
        <v>1806</v>
      </c>
      <c r="I12" s="55">
        <f>INDEX(bs!$B$4:$CO$68,MATCH($B12,bs!$A$4:$A$68,0),MATCH(I$6,bs!$B$3:$CO$3,0))</f>
        <v>1480</v>
      </c>
      <c r="J12" s="55">
        <f>3446-109</f>
        <v>3337</v>
      </c>
      <c r="K12" s="28">
        <f>K100</f>
        <v>5684.2790187911251</v>
      </c>
      <c r="L12" s="28">
        <f>L100</f>
        <v>8256.7801604517808</v>
      </c>
      <c r="M12" s="28">
        <f>M100</f>
        <v>11337.167495706066</v>
      </c>
      <c r="N12" s="28">
        <f t="shared" ref="N12:O12" si="13">N100</f>
        <v>13921.304515470289</v>
      </c>
      <c r="O12" s="28">
        <f t="shared" si="13"/>
        <v>16542.207643747843</v>
      </c>
      <c r="P12" s="28">
        <f t="shared" ref="P12:Q12" si="14">P100</f>
        <v>19200.961655693445</v>
      </c>
      <c r="Q12" s="28">
        <f t="shared" si="14"/>
        <v>21898.667638232975</v>
      </c>
    </row>
    <row r="13" spans="1:17" x14ac:dyDescent="0.3">
      <c r="B13" s="1" t="s">
        <v>16</v>
      </c>
      <c r="E13" s="55">
        <f t="shared" ref="E13:I13" si="15">E17-E12-E15-E16+109-E14</f>
        <v>4622</v>
      </c>
      <c r="F13" s="55">
        <f t="shared" si="15"/>
        <v>3771</v>
      </c>
      <c r="G13" s="55">
        <f t="shared" si="15"/>
        <v>4324</v>
      </c>
      <c r="H13" s="55">
        <f t="shared" si="15"/>
        <v>3909</v>
      </c>
      <c r="I13" s="55">
        <f t="shared" si="15"/>
        <v>4177</v>
      </c>
      <c r="J13" s="55">
        <f>J17-J12-J15-J16-J14</f>
        <v>2999</v>
      </c>
      <c r="K13" s="28">
        <f>K49*summary!K32/365</f>
        <v>5859.1317048704659</v>
      </c>
      <c r="L13" s="28">
        <f>L49*summary!J32/365</f>
        <v>6274.2495208822993</v>
      </c>
      <c r="M13" s="28">
        <f>M49*summary!L32/365</f>
        <v>6269.433829473749</v>
      </c>
      <c r="N13" s="28">
        <f>N49*summary!M32/365</f>
        <v>6394.8225060632249</v>
      </c>
      <c r="O13" s="28">
        <f>O49*summary!N32/365</f>
        <v>6522.7189561844889</v>
      </c>
      <c r="P13" s="28">
        <f>P49*summary!O32/365</f>
        <v>6653.1733353081781</v>
      </c>
      <c r="Q13" s="28">
        <f>Q49*summary!P32/365</f>
        <v>6786.2368020143422</v>
      </c>
    </row>
    <row r="14" spans="1:17" x14ac:dyDescent="0.3">
      <c r="B14" s="1" t="s">
        <v>196</v>
      </c>
      <c r="E14" s="55">
        <f>INDEX(bs!$B$4:$CO$68,MATCH($B14,bs!$A$4:$A$68,0),MATCH(E$6,bs!$B$3:$CO$3,0))</f>
        <v>5864</v>
      </c>
      <c r="F14" s="55">
        <f>INDEX(bs!$B$4:$CO$68,MATCH($B14,bs!$A$4:$A$68,0),MATCH(F$6,bs!$B$3:$CO$3,0))</f>
        <v>6029</v>
      </c>
      <c r="G14" s="55">
        <f>INDEX(bs!$B$4:$CO$68,MATCH($B14,bs!$A$4:$A$68,0),MATCH(G$6,bs!$B$3:$CO$3,0))</f>
        <v>6094</v>
      </c>
      <c r="H14" s="55">
        <f>INDEX(bs!$B$4:$CO$68,MATCH($B14,bs!$A$4:$A$68,0),MATCH(H$6,bs!$B$3:$CO$3,0))</f>
        <v>5998</v>
      </c>
      <c r="I14" s="55">
        <f>INDEX(bs!$B$4:$CO$68,MATCH($B14,bs!$A$4:$A$68,0),MATCH(I$6,bs!$B$3:$CO$3,0))</f>
        <v>5279</v>
      </c>
      <c r="J14" s="55">
        <f>INDEX(bs!$B$4:$CO$68,MATCH($B14,bs!$A$4:$A$68,0),MATCH(J$6,bs!$B$3:$CO$3,0))</f>
        <v>5671</v>
      </c>
      <c r="K14" s="28">
        <f>K49*summary!K33/365</f>
        <v>6376.6145421816173</v>
      </c>
      <c r="L14" s="28">
        <f>L49*summary!L33/365</f>
        <v>6582.2341271768109</v>
      </c>
      <c r="M14" s="28">
        <f>M49*summary!M33/365</f>
        <v>6823.1548533097066</v>
      </c>
      <c r="N14" s="28">
        <f>N49*summary!N33/365</f>
        <v>6959.6179503759013</v>
      </c>
      <c r="O14" s="28">
        <f>O49*summary!O33/365</f>
        <v>7098.8103093834188</v>
      </c>
      <c r="P14" s="28">
        <f>P49*summary!P33/365</f>
        <v>7240.7865155710879</v>
      </c>
      <c r="Q14" s="28">
        <f>Q49*summary!Q33/365</f>
        <v>7385.6022458825091</v>
      </c>
    </row>
    <row r="15" spans="1:17" x14ac:dyDescent="0.3">
      <c r="B15" s="1" t="s">
        <v>197</v>
      </c>
      <c r="E15" s="55">
        <f>INDEX(bs!$B$4:$CO$68,MATCH($B15,bs!$A$4:$A$68,0),MATCH(E$6,bs!$B$3:$CO$3,0))</f>
        <v>65</v>
      </c>
      <c r="F15" s="55">
        <f>INDEX(bs!$B$4:$CO$68,MATCH($B15,bs!$A$4:$A$68,0),MATCH(F$6,bs!$B$3:$CO$3,0))</f>
        <v>178</v>
      </c>
      <c r="G15" s="55">
        <f>INDEX(bs!$B$4:$CO$68,MATCH($B15,bs!$A$4:$A$68,0),MATCH(G$6,bs!$B$3:$CO$3,0))</f>
        <v>123</v>
      </c>
      <c r="H15" s="55">
        <f>INDEX(bs!$B$4:$CO$68,MATCH($B15,bs!$A$4:$A$68,0),MATCH(H$6,bs!$B$3:$CO$3,0))</f>
        <v>242</v>
      </c>
      <c r="I15" s="55">
        <f>INDEX(bs!$B$4:$CO$68,MATCH($B15,bs!$A$4:$A$68,0),MATCH(I$6,bs!$B$3:$CO$3,0))</f>
        <v>456</v>
      </c>
      <c r="J15" s="55">
        <f>INDEX(bs!$B$4:$CO$68,MATCH($B15,bs!$A$4:$A$68,0),MATCH(J$6,bs!$B$3:$CO$3,0))</f>
        <v>579</v>
      </c>
      <c r="K15" s="28">
        <f>J15</f>
        <v>579</v>
      </c>
      <c r="L15" s="28">
        <f>K15</f>
        <v>579</v>
      </c>
      <c r="M15" s="28">
        <f t="shared" ref="M15:O15" si="16">L15</f>
        <v>579</v>
      </c>
      <c r="N15" s="28">
        <f t="shared" si="16"/>
        <v>579</v>
      </c>
      <c r="O15" s="28">
        <f t="shared" si="16"/>
        <v>579</v>
      </c>
      <c r="P15" s="28">
        <f t="shared" ref="P15" si="17">O15</f>
        <v>579</v>
      </c>
      <c r="Q15" s="28">
        <f t="shared" ref="Q15" si="18">P15</f>
        <v>579</v>
      </c>
    </row>
    <row r="16" spans="1:17" x14ac:dyDescent="0.3">
      <c r="B16" s="1" t="s">
        <v>199</v>
      </c>
      <c r="E16" s="55">
        <f>INDEX(bs!$B$4:$CO$68,MATCH($B16,bs!$A$4:$A$68,0),MATCH(E$6,bs!$B$3:$CO$3,0))</f>
        <v>393</v>
      </c>
      <c r="F16" s="55">
        <f>INDEX(bs!$B$4:$CO$68,MATCH($B16,bs!$A$4:$A$68,0),MATCH(F$6,bs!$B$3:$CO$3,0))</f>
        <v>479</v>
      </c>
      <c r="G16" s="55">
        <f>INDEX(bs!$B$4:$CO$68,MATCH($B16,bs!$A$4:$A$68,0),MATCH(G$6,bs!$B$3:$CO$3,0))</f>
        <v>943</v>
      </c>
      <c r="H16" s="55">
        <f>INDEX(bs!$B$4:$CO$68,MATCH($B16,bs!$A$4:$A$68,0),MATCH(H$6,bs!$B$3:$CO$3,0))</f>
        <v>1766</v>
      </c>
      <c r="I16" s="55">
        <f>INDEX(bs!$B$4:$CO$68,MATCH($B16,bs!$A$4:$A$68,0),MATCH(I$6,bs!$B$3:$CO$3,0))</f>
        <v>1524</v>
      </c>
      <c r="J16" s="55">
        <f>INDEX(bs!$B$4:$CO$68,MATCH($B16,bs!$A$4:$A$68,0),MATCH(J$6,bs!$B$3:$CO$3,0))</f>
        <v>2932</v>
      </c>
      <c r="K16" s="28"/>
      <c r="L16" s="28"/>
      <c r="M16" s="28"/>
      <c r="N16" s="28"/>
      <c r="O16" s="28"/>
      <c r="P16" s="28"/>
      <c r="Q16" s="28"/>
    </row>
    <row r="17" spans="2:17" ht="15" thickBot="1" x14ac:dyDescent="0.35">
      <c r="B17" s="17" t="s">
        <v>200</v>
      </c>
      <c r="C17" s="17"/>
      <c r="D17" s="17"/>
      <c r="E17" s="77">
        <f>INDEX(bs!$B$4:$CO$68,MATCH($B17,bs!$A$4:$A$68,0),MATCH(E$6,bs!$B$3:$CO$3,0))</f>
        <v>13966</v>
      </c>
      <c r="F17" s="77">
        <f>INDEX(bs!$B$4:$CO$68,MATCH($B17,bs!$A$4:$A$68,0),MATCH(F$6,bs!$B$3:$CO$3,0))</f>
        <v>12655</v>
      </c>
      <c r="G17" s="77">
        <f>INDEX(bs!$B$4:$CO$68,MATCH($B17,bs!$A$4:$A$68,0),MATCH(G$6,bs!$B$3:$CO$3,0))</f>
        <v>13274</v>
      </c>
      <c r="H17" s="77">
        <f>INDEX(bs!$B$4:$CO$68,MATCH($B17,bs!$A$4:$A$68,0),MATCH(H$6,bs!$B$3:$CO$3,0))</f>
        <v>13612</v>
      </c>
      <c r="I17" s="77">
        <f>INDEX(bs!$B$4:$CO$68,MATCH($B17,bs!$A$4:$A$68,0),MATCH(I$6,bs!$B$3:$CO$3,0))</f>
        <v>12807</v>
      </c>
      <c r="J17" s="77">
        <f>INDEX(bs!$B$4:$CO$68,MATCH($B17,bs!$A$4:$A$68,0),MATCH(J$6,bs!$B$3:$CO$3,0))+109</f>
        <v>15518</v>
      </c>
      <c r="K17" s="78">
        <f>SUM(K12:K16)</f>
        <v>18499.025265843207</v>
      </c>
      <c r="L17" s="78">
        <f t="shared" ref="L17:O17" si="19">SUM(L12:L16)</f>
        <v>21692.263808510892</v>
      </c>
      <c r="M17" s="78">
        <f t="shared" si="19"/>
        <v>25008.756178489522</v>
      </c>
      <c r="N17" s="78">
        <f t="shared" si="19"/>
        <v>27854.744971909415</v>
      </c>
      <c r="O17" s="78">
        <f t="shared" si="19"/>
        <v>30742.73690931575</v>
      </c>
      <c r="P17" s="78">
        <f t="shared" ref="P17:Q17" si="20">SUM(P12:P16)</f>
        <v>33673.921506572711</v>
      </c>
      <c r="Q17" s="78">
        <f t="shared" si="20"/>
        <v>36649.506686129826</v>
      </c>
    </row>
    <row r="18" spans="2:17" ht="15" thickTop="1" x14ac:dyDescent="0.3">
      <c r="B18" s="1" t="s">
        <v>201</v>
      </c>
      <c r="E18" s="55">
        <f>INDEX(bs!$B$4:$CO$68,MATCH($B18,bs!$A$4:$A$68,0),MATCH(E$6,bs!$B$3:$CO$3,0))</f>
        <v>44147</v>
      </c>
      <c r="F18" s="55">
        <f>INDEX(bs!$B$4:$CO$68,MATCH($B18,bs!$A$4:$A$68,0),MATCH(F$6,bs!$B$3:$CO$3,0))</f>
        <v>46163</v>
      </c>
      <c r="G18" s="55">
        <f>INDEX(bs!$B$4:$CO$68,MATCH($B18,bs!$A$4:$A$68,0),MATCH(G$6,bs!$B$3:$CO$3,0))</f>
        <v>44316</v>
      </c>
      <c r="H18" s="55">
        <f>INDEX(bs!$B$4:$CO$68,MATCH($B18,bs!$A$4:$A$68,0),MATCH(H$6,bs!$B$3:$CO$3,0))</f>
        <v>43319</v>
      </c>
      <c r="I18" s="55">
        <f>INDEX(bs!$B$4:$CO$68,MATCH($B18,bs!$A$4:$A$68,0),MATCH(I$6,bs!$B$3:$CO$3,0))</f>
        <v>43194</v>
      </c>
      <c r="J18" s="55">
        <f>INDEX(bs!$B$4:$CO$68,MATCH($B18,bs!$A$4:$A$68,0),MATCH(J$6,bs!$B$3:$CO$3,0))</f>
        <v>47956</v>
      </c>
      <c r="K18" s="28">
        <f>J18</f>
        <v>47956</v>
      </c>
      <c r="L18" s="28">
        <f>J18</f>
        <v>47956</v>
      </c>
      <c r="M18" s="28">
        <f t="shared" ref="M18:O19" si="21">L18</f>
        <v>47956</v>
      </c>
      <c r="N18" s="28">
        <f t="shared" si="21"/>
        <v>47956</v>
      </c>
      <c r="O18" s="28">
        <f t="shared" si="21"/>
        <v>47956</v>
      </c>
      <c r="P18" s="28">
        <f t="shared" ref="P18:P19" si="22">O18</f>
        <v>47956</v>
      </c>
      <c r="Q18" s="28">
        <f t="shared" ref="Q18:Q19" si="23">P18</f>
        <v>47956</v>
      </c>
    </row>
    <row r="19" spans="2:17" x14ac:dyDescent="0.3">
      <c r="B19" s="1" t="s">
        <v>202</v>
      </c>
      <c r="E19" s="55">
        <f>INDEX(bs!$B$4:$CO$68,MATCH($B19,bs!$A$4:$A$68,0),MATCH(E$6,bs!$B$3:$CO$3,0))</f>
        <v>73638</v>
      </c>
      <c r="F19" s="55">
        <f>INDEX(bs!$B$4:$CO$68,MATCH($B19,bs!$A$4:$A$68,0),MATCH(F$6,bs!$B$3:$CO$3,0))</f>
        <v>77850</v>
      </c>
      <c r="G19" s="55">
        <f>INDEX(bs!$B$4:$CO$68,MATCH($B19,bs!$A$4:$A$68,0),MATCH(G$6,bs!$B$3:$CO$3,0))</f>
        <v>74471</v>
      </c>
      <c r="H19" s="55">
        <f>INDEX(bs!$B$4:$CO$68,MATCH($B19,bs!$A$4:$A$68,0),MATCH(H$6,bs!$B$3:$CO$3,0))</f>
        <v>72024</v>
      </c>
      <c r="I19" s="55">
        <f>INDEX(bs!$B$4:$CO$68,MATCH($B19,bs!$A$4:$A$68,0),MATCH(I$6,bs!$B$3:$CO$3,0))</f>
        <v>72431</v>
      </c>
      <c r="J19" s="55">
        <f>INDEX(bs!$B$4:$CO$68,MATCH($B19,bs!$A$4:$A$68,0),MATCH(J$6,bs!$B$3:$CO$3,0))</f>
        <v>81119</v>
      </c>
      <c r="K19" s="28">
        <f>J19</f>
        <v>81119</v>
      </c>
      <c r="L19" s="28">
        <f>J19</f>
        <v>81119</v>
      </c>
      <c r="M19" s="28">
        <f t="shared" si="21"/>
        <v>81119</v>
      </c>
      <c r="N19" s="28">
        <f t="shared" si="21"/>
        <v>81119</v>
      </c>
      <c r="O19" s="28">
        <f t="shared" si="21"/>
        <v>81119</v>
      </c>
      <c r="P19" s="28">
        <f t="shared" si="22"/>
        <v>81119</v>
      </c>
      <c r="Q19" s="28">
        <f t="shared" si="23"/>
        <v>81119</v>
      </c>
    </row>
    <row r="20" spans="2:17" x14ac:dyDescent="0.3">
      <c r="B20" s="1" t="s">
        <v>204</v>
      </c>
      <c r="E20" s="55">
        <f>INDEX(bs!$B$4:$CO$68,MATCH($B20,bs!$A$4:$A$68,0),MATCH(E$6,bs!$B$3:$CO$3,0))</f>
        <v>4882</v>
      </c>
      <c r="F20" s="55">
        <f>INDEX(bs!$B$4:$CO$68,MATCH($B20,bs!$A$4:$A$68,0),MATCH(F$6,bs!$B$3:$CO$3,0))</f>
        <v>5166</v>
      </c>
      <c r="G20" s="55">
        <f>INDEX(bs!$B$4:$CO$68,MATCH($B20,bs!$A$4:$A$68,0),MATCH(G$6,bs!$B$3:$CO$3,0))</f>
        <v>5518</v>
      </c>
      <c r="H20" s="55">
        <f>INDEX(bs!$B$4:$CO$68,MATCH($B20,bs!$A$4:$A$68,0),MATCH(H$6,bs!$B$3:$CO$3,0))</f>
        <v>5060</v>
      </c>
      <c r="I20" s="55">
        <f>INDEX(bs!$B$4:$CO$68,MATCH($B20,bs!$A$4:$A$68,0),MATCH(I$6,bs!$B$3:$CO$3,0))</f>
        <v>4953</v>
      </c>
      <c r="J20" s="55">
        <f>INDEX(bs!$B$4:$CO$68,MATCH($B20,bs!$A$4:$A$68,0),MATCH(J$6,bs!$B$3:$CO$3,0))</f>
        <v>4867</v>
      </c>
      <c r="K20" s="28">
        <f t="shared" ref="K20:Q20" si="24">J20+K56-K81</f>
        <v>4211.7851015842407</v>
      </c>
      <c r="L20" s="28">
        <f t="shared" si="24"/>
        <v>3614.9645550117511</v>
      </c>
      <c r="M20" s="28">
        <f t="shared" si="24"/>
        <v>3072.0387269949006</v>
      </c>
      <c r="N20" s="28">
        <f t="shared" si="24"/>
        <v>2854.376043815616</v>
      </c>
      <c r="O20" s="28">
        <f t="shared" si="24"/>
        <v>2661.654683596053</v>
      </c>
      <c r="P20" s="28">
        <f t="shared" si="24"/>
        <v>2493.9221555798636</v>
      </c>
      <c r="Q20" s="28">
        <f t="shared" si="24"/>
        <v>2351.2338722651339</v>
      </c>
    </row>
    <row r="21" spans="2:17" x14ac:dyDescent="0.3">
      <c r="B21" s="1" t="s">
        <v>205</v>
      </c>
      <c r="E21" s="55">
        <f>INDEX(bs!$B$4:$CO$68,MATCH($B21,bs!$A$4:$A$68,0),MATCH(E$6,bs!$B$3:$CO$3,0))</f>
        <v>1619</v>
      </c>
      <c r="F21" s="55">
        <f>INDEX(bs!$B$4:$CO$68,MATCH($B21,bs!$A$4:$A$68,0),MATCH(F$6,bs!$B$3:$CO$3,0))</f>
        <v>1776</v>
      </c>
      <c r="G21" s="55">
        <f>INDEX(bs!$B$4:$CO$68,MATCH($B21,bs!$A$4:$A$68,0),MATCH(G$6,bs!$B$3:$CO$3,0))</f>
        <v>1872</v>
      </c>
      <c r="H21" s="55">
        <f>INDEX(bs!$B$4:$CO$68,MATCH($B21,bs!$A$4:$A$68,0),MATCH(H$6,bs!$B$3:$CO$3,0))</f>
        <v>1818</v>
      </c>
      <c r="I21" s="55">
        <f>INDEX(bs!$B$4:$CO$68,MATCH($B21,bs!$A$4:$A$68,0),MATCH(I$6,bs!$B$3:$CO$3,0))</f>
        <v>1998</v>
      </c>
      <c r="J21" s="55">
        <f>INDEX(bs!$B$4:$CO$68,MATCH($B21,bs!$A$4:$A$68,0),MATCH(J$6,bs!$B$3:$CO$3,0))</f>
        <v>2141</v>
      </c>
      <c r="K21" s="28">
        <f>J21</f>
        <v>2141</v>
      </c>
      <c r="L21" s="28">
        <f>J21</f>
        <v>2141</v>
      </c>
      <c r="M21" s="28">
        <f t="shared" ref="M21:O21" si="25">L21</f>
        <v>2141</v>
      </c>
      <c r="N21" s="28">
        <f t="shared" si="25"/>
        <v>2141</v>
      </c>
      <c r="O21" s="28">
        <f t="shared" si="25"/>
        <v>2141</v>
      </c>
      <c r="P21" s="28">
        <f t="shared" ref="P21:P22" si="26">O21</f>
        <v>2141</v>
      </c>
      <c r="Q21" s="28">
        <f t="shared" ref="Q21:Q22" si="27">P21</f>
        <v>2141</v>
      </c>
    </row>
    <row r="22" spans="2:17" x14ac:dyDescent="0.3">
      <c r="B22" s="1" t="s">
        <v>206</v>
      </c>
      <c r="E22" s="55">
        <f>INDEX(bs!$B$4:$CO$68,MATCH($B22,bs!$A$4:$A$68,0),MATCH(E$6,bs!$B$3:$CO$3,0))</f>
        <v>2802</v>
      </c>
      <c r="F22" s="55">
        <f>INDEX(bs!$B$4:$CO$68,MATCH($B22,bs!$A$4:$A$68,0),MATCH(F$6,bs!$B$3:$CO$3,0))</f>
        <v>2732</v>
      </c>
      <c r="G22" s="55">
        <f>INDEX(bs!$B$4:$CO$68,MATCH($B22,bs!$A$4:$A$68,0),MATCH(G$6,bs!$B$3:$CO$3,0))</f>
        <v>1554</v>
      </c>
      <c r="H22" s="55">
        <f>INDEX(bs!$B$4:$CO$68,MATCH($B22,bs!$A$4:$A$68,0),MATCH(H$6,bs!$B$3:$CO$3,0))</f>
        <v>1857</v>
      </c>
      <c r="I22" s="55">
        <f>INDEX(bs!$B$4:$CO$68,MATCH($B22,bs!$A$4:$A$68,0),MATCH(I$6,bs!$B$3:$CO$3,0))</f>
        <v>1982</v>
      </c>
      <c r="J22" s="55">
        <f>INDEX(bs!$B$4:$CO$68,MATCH($B22,bs!$A$4:$A$68,0),MATCH(J$6,bs!$B$3:$CO$3,0))</f>
        <v>2054</v>
      </c>
      <c r="K22" s="28">
        <f>J22</f>
        <v>2054</v>
      </c>
      <c r="L22" s="28">
        <f>J22</f>
        <v>2054</v>
      </c>
      <c r="M22" s="28">
        <f t="shared" ref="M22:O22" si="28">L22</f>
        <v>2054</v>
      </c>
      <c r="N22" s="28">
        <f t="shared" si="28"/>
        <v>2054</v>
      </c>
      <c r="O22" s="28">
        <f t="shared" si="28"/>
        <v>2054</v>
      </c>
      <c r="P22" s="28">
        <f t="shared" si="26"/>
        <v>2054</v>
      </c>
      <c r="Q22" s="28">
        <f t="shared" si="27"/>
        <v>2054</v>
      </c>
    </row>
    <row r="23" spans="2:17" ht="15" thickBot="1" x14ac:dyDescent="0.35">
      <c r="B23" s="17" t="s">
        <v>17</v>
      </c>
      <c r="C23" s="17"/>
      <c r="D23" s="17"/>
      <c r="E23" s="77">
        <f t="shared" ref="E23:G23" si="29">SUM(E17:E22)</f>
        <v>141054</v>
      </c>
      <c r="F23" s="77">
        <f t="shared" si="29"/>
        <v>146342</v>
      </c>
      <c r="G23" s="77">
        <f t="shared" si="29"/>
        <v>141005</v>
      </c>
      <c r="H23" s="77">
        <f t="shared" ref="H23:J23" si="30">SUM(H17:H22)</f>
        <v>137690</v>
      </c>
      <c r="I23" s="77">
        <f t="shared" si="30"/>
        <v>137365</v>
      </c>
      <c r="J23" s="77">
        <f t="shared" si="30"/>
        <v>153655</v>
      </c>
      <c r="K23" s="78">
        <f>SUM(K17:K22)</f>
        <v>155980.81036742745</v>
      </c>
      <c r="L23" s="78">
        <f t="shared" ref="L23:O23" si="31">SUM(L17:L22)</f>
        <v>158577.22836352265</v>
      </c>
      <c r="M23" s="78">
        <f t="shared" si="31"/>
        <v>161350.79490548445</v>
      </c>
      <c r="N23" s="78">
        <f t="shared" si="31"/>
        <v>163979.12101572502</v>
      </c>
      <c r="O23" s="78">
        <f t="shared" si="31"/>
        <v>166674.39159291179</v>
      </c>
      <c r="P23" s="78">
        <f t="shared" ref="P23:Q23" si="32">SUM(P17:P22)</f>
        <v>169437.84366215259</v>
      </c>
      <c r="Q23" s="78">
        <f t="shared" si="32"/>
        <v>172270.74055839499</v>
      </c>
    </row>
    <row r="24" spans="2:17" ht="15" thickTop="1" x14ac:dyDescent="0.3">
      <c r="E24" s="55"/>
      <c r="F24" s="55"/>
      <c r="G24" s="55"/>
      <c r="H24" s="55"/>
      <c r="I24" s="55"/>
      <c r="J24" s="55"/>
      <c r="K24" s="28"/>
      <c r="L24" s="28"/>
      <c r="M24" s="28"/>
      <c r="N24" s="28"/>
      <c r="O24" s="28"/>
      <c r="P24" s="28"/>
      <c r="Q24" s="28"/>
    </row>
    <row r="25" spans="2:17" x14ac:dyDescent="0.3">
      <c r="B25" s="1" t="s">
        <v>19</v>
      </c>
      <c r="E25" s="55">
        <f t="shared" ref="E25:G25" si="33">E28-E26-E27</f>
        <v>9462</v>
      </c>
      <c r="F25" s="55">
        <f t="shared" si="33"/>
        <v>11251</v>
      </c>
      <c r="G25" s="55">
        <f t="shared" si="33"/>
        <v>10578</v>
      </c>
      <c r="H25" s="55">
        <f t="shared" ref="H25:I25" si="34">H28-H26-H27</f>
        <v>10569</v>
      </c>
      <c r="I25" s="55">
        <f t="shared" si="34"/>
        <v>10273</v>
      </c>
      <c r="J25" s="55">
        <f>J28-J26-J27</f>
        <v>12391</v>
      </c>
      <c r="K25" s="28">
        <f>-K52*summary!K34/365</f>
        <v>12619.389749864153</v>
      </c>
      <c r="L25" s="28">
        <f>-L52*summary!L34/365</f>
        <v>13026.313151944512</v>
      </c>
      <c r="M25" s="28">
        <f>-M52*summary!M34/365</f>
        <v>13503.097897483034</v>
      </c>
      <c r="N25" s="28">
        <f>-N52*summary!N34/365</f>
        <v>13773.159855432696</v>
      </c>
      <c r="O25" s="28">
        <f>-O52*summary!O34/365</f>
        <v>14048.62305254135</v>
      </c>
      <c r="P25" s="28">
        <f>-P52*summary!P34/365</f>
        <v>14329.595513592178</v>
      </c>
      <c r="Q25" s="28">
        <f>-Q52*summary!Q34/365</f>
        <v>14616.187423864019</v>
      </c>
    </row>
    <row r="26" spans="2:17" x14ac:dyDescent="0.3">
      <c r="B26" s="1" t="s">
        <v>39</v>
      </c>
      <c r="E26" s="55">
        <f>INDEX(bs!$B$4:$CO$68,MATCH($B26,bs!$A$4:$A$68,0),MATCH(E$6,bs!$B$3:$CO$3,0))</f>
        <v>720</v>
      </c>
      <c r="F26" s="55">
        <f>INDEX(bs!$B$4:$CO$68,MATCH($B26,bs!$A$4:$A$68,0),MATCH(F$6,bs!$B$3:$CO$3,0))</f>
        <v>853</v>
      </c>
      <c r="G26" s="55">
        <f>INDEX(bs!$B$4:$CO$68,MATCH($B26,bs!$A$4:$A$68,0),MATCH(G$6,bs!$B$3:$CO$3,0))</f>
        <v>683</v>
      </c>
      <c r="H26" s="55">
        <f>INDEX(bs!$B$4:$CO$68,MATCH($B26,bs!$A$4:$A$68,0),MATCH(H$6,bs!$B$3:$CO$3,0))</f>
        <v>868</v>
      </c>
      <c r="I26" s="55">
        <f>INDEX(bs!$B$4:$CO$68,MATCH($B26,bs!$A$4:$A$68,0),MATCH(I$6,bs!$B$3:$CO$3,0))</f>
        <v>879</v>
      </c>
      <c r="J26" s="55">
        <f>INDEX(bs!$B$4:$CO$68,MATCH($B26,bs!$A$4:$A$68,0),MATCH(J$6,bs!$B$3:$CO$3,0))</f>
        <v>1049</v>
      </c>
      <c r="K26" s="28">
        <f>J26</f>
        <v>1049</v>
      </c>
      <c r="L26" s="28">
        <f>K26</f>
        <v>1049</v>
      </c>
      <c r="M26" s="28">
        <f t="shared" ref="M26:O26" si="35">L26</f>
        <v>1049</v>
      </c>
      <c r="N26" s="28">
        <f t="shared" si="35"/>
        <v>1049</v>
      </c>
      <c r="O26" s="28">
        <f t="shared" si="35"/>
        <v>1049</v>
      </c>
      <c r="P26" s="28">
        <f t="shared" ref="P26" si="36">O26</f>
        <v>1049</v>
      </c>
      <c r="Q26" s="28">
        <f t="shared" ref="Q26" si="37">P26</f>
        <v>1049</v>
      </c>
    </row>
    <row r="27" spans="2:17" x14ac:dyDescent="0.3">
      <c r="B27" s="1" t="s">
        <v>209</v>
      </c>
      <c r="E27" s="55">
        <f>INDEX(bs!$B$4:$CO$68,MATCH($B27,bs!$A$4:$A$68,0),MATCH(E$6,bs!$B$3:$CO$3,0))</f>
        <v>5423</v>
      </c>
      <c r="F27" s="55">
        <f>INDEX(bs!$B$4:$CO$68,MATCH($B27,bs!$A$4:$A$68,0),MATCH(F$6,bs!$B$3:$CO$3,0))</f>
        <v>4225</v>
      </c>
      <c r="G27" s="55">
        <f>INDEX(bs!$B$4:$CO$68,MATCH($B27,bs!$A$4:$A$68,0),MATCH(G$6,bs!$B$3:$CO$3,0))</f>
        <v>7562</v>
      </c>
      <c r="H27" s="55">
        <f>INDEX(bs!$B$4:$CO$68,MATCH($B27,bs!$A$4:$A$68,0),MATCH(H$6,bs!$B$3:$CO$3,0))</f>
        <v>4041</v>
      </c>
      <c r="I27" s="55">
        <f>INDEX(bs!$B$4:$CO$68,MATCH($B27,bs!$A$4:$A$68,0),MATCH(I$6,bs!$B$3:$CO$3,0))</f>
        <v>3992</v>
      </c>
      <c r="J27" s="55">
        <f>INDEX(bs!$B$4:$CO$68,MATCH($B27,bs!$A$4:$A$68,0),MATCH(J$6,bs!$B$3:$CO$3,0))+109</f>
        <v>4522</v>
      </c>
      <c r="K27" s="28"/>
      <c r="L27" s="28"/>
      <c r="M27" s="28"/>
      <c r="N27" s="28"/>
      <c r="O27" s="28"/>
      <c r="P27" s="28"/>
      <c r="Q27" s="28"/>
    </row>
    <row r="28" spans="2:17" ht="15" thickBot="1" x14ac:dyDescent="0.35">
      <c r="B28" s="17" t="s">
        <v>212</v>
      </c>
      <c r="C28" s="17"/>
      <c r="D28" s="17"/>
      <c r="E28" s="77">
        <f>INDEX(bs!$B$4:$CO$68,MATCH($B28,bs!$A$4:$A$68,0),MATCH(E$6,bs!$B$3:$CO$3,0))</f>
        <v>15605</v>
      </c>
      <c r="F28" s="77">
        <f>INDEX(bs!$B$4:$CO$68,MATCH($B28,bs!$A$4:$A$68,0),MATCH(F$6,bs!$B$3:$CO$3,0))</f>
        <v>16329</v>
      </c>
      <c r="G28" s="77">
        <f>INDEX(bs!$B$4:$CO$68,MATCH($B28,bs!$A$4:$A$68,0),MATCH(G$6,bs!$B$3:$CO$3,0))</f>
        <v>18823</v>
      </c>
      <c r="H28" s="77">
        <f>INDEX(bs!$B$4:$CO$68,MATCH($B28,bs!$A$4:$A$68,0),MATCH(H$6,bs!$B$3:$CO$3,0))</f>
        <v>15478</v>
      </c>
      <c r="I28" s="77">
        <f>INDEX(bs!$B$4:$CO$68,MATCH($B28,bs!$A$4:$A$68,0),MATCH(I$6,bs!$B$3:$CO$3,0))</f>
        <v>15144</v>
      </c>
      <c r="J28" s="77">
        <f>INDEX(bs!$B$4:$CO$68,MATCH($B28,bs!$A$4:$A$68,0),MATCH(J$6,bs!$B$3:$CO$3,0))+109</f>
        <v>17962</v>
      </c>
      <c r="K28" s="78">
        <f>SUM(K25:K27)</f>
        <v>13668.389749864153</v>
      </c>
      <c r="L28" s="78">
        <f t="shared" ref="L28:O28" si="38">SUM(L25:L27)</f>
        <v>14075.313151944512</v>
      </c>
      <c r="M28" s="78">
        <f t="shared" si="38"/>
        <v>14552.097897483034</v>
      </c>
      <c r="N28" s="78">
        <f t="shared" si="38"/>
        <v>14822.159855432696</v>
      </c>
      <c r="O28" s="78">
        <f t="shared" si="38"/>
        <v>15097.62305254135</v>
      </c>
      <c r="P28" s="78">
        <f t="shared" ref="P28:Q28" si="39">SUM(P25:P27)</f>
        <v>15378.595513592178</v>
      </c>
      <c r="Q28" s="78">
        <f t="shared" si="39"/>
        <v>15665.187423864019</v>
      </c>
    </row>
    <row r="29" spans="2:17" ht="15" thickTop="1" x14ac:dyDescent="0.3">
      <c r="B29" s="1" t="s">
        <v>213</v>
      </c>
      <c r="E29" s="55">
        <f>INDEX(bs!$B$4:$CO$68,MATCH($B29,bs!$A$4:$A$68,0),MATCH(E$6,bs!$B$3:$CO$3,0))</f>
        <v>44027</v>
      </c>
      <c r="F29" s="55">
        <f>INDEX(bs!$B$4:$CO$68,MATCH($B29,bs!$A$4:$A$68,0),MATCH(F$6,bs!$B$3:$CO$3,0))</f>
        <v>43284</v>
      </c>
      <c r="G29" s="55">
        <f>INDEX(bs!$B$4:$CO$68,MATCH($B29,bs!$A$4:$A$68,0),MATCH(G$6,bs!$B$3:$CO$3,0))</f>
        <v>37804</v>
      </c>
      <c r="H29" s="55">
        <f>INDEX(bs!$B$4:$CO$68,MATCH($B29,bs!$A$4:$A$68,0),MATCH(H$6,bs!$B$3:$CO$3,0))</f>
        <v>39927</v>
      </c>
      <c r="I29" s="55">
        <f>INDEX(bs!$B$4:$CO$68,MATCH($B29,bs!$A$4:$A$68,0),MATCH(I$6,bs!$B$3:$CO$3,0))</f>
        <v>35666</v>
      </c>
      <c r="J29" s="55">
        <f>INDEX(bs!$B$4:$CO$68,MATCH($B29,bs!$A$4:$A$68,0),MATCH(J$6,bs!$B$3:$CO$3,0))</f>
        <v>38726</v>
      </c>
      <c r="K29" s="28">
        <f>summary!K35</f>
        <v>43248</v>
      </c>
      <c r="L29" s="28">
        <f>summary!L35</f>
        <v>43248</v>
      </c>
      <c r="M29" s="28">
        <f>summary!M35</f>
        <v>43248</v>
      </c>
      <c r="N29" s="28">
        <f>summary!N35</f>
        <v>43248</v>
      </c>
      <c r="O29" s="28">
        <f>summary!O35</f>
        <v>43248</v>
      </c>
      <c r="P29" s="28">
        <f>summary!P35</f>
        <v>43248</v>
      </c>
      <c r="Q29" s="28">
        <f>summary!Q35</f>
        <v>43248</v>
      </c>
    </row>
    <row r="30" spans="2:17" x14ac:dyDescent="0.3">
      <c r="B30" s="1" t="s">
        <v>144</v>
      </c>
      <c r="E30" s="55">
        <f>INDEX(bs!$B$4:$CO$68,MATCH($B30,bs!$A$4:$A$68,0),MATCH(E$6,bs!$B$3:$CO$3,0))</f>
        <v>17129</v>
      </c>
      <c r="F30" s="55">
        <f>INDEX(bs!$B$4:$CO$68,MATCH($B30,bs!$A$4:$A$68,0),MATCH(F$6,bs!$B$3:$CO$3,0))</f>
        <v>17776</v>
      </c>
      <c r="G30" s="55">
        <f>INDEX(bs!$B$4:$CO$68,MATCH($B30,bs!$A$4:$A$68,0),MATCH(G$6,bs!$B$3:$CO$3,0))</f>
        <v>17050</v>
      </c>
      <c r="H30" s="55">
        <f>INDEX(bs!$B$4:$CO$68,MATCH($B30,bs!$A$4:$A$68,0),MATCH(H$6,bs!$B$3:$CO$3,0))</f>
        <v>16314</v>
      </c>
      <c r="I30" s="55">
        <f>INDEX(bs!$B$4:$CO$68,MATCH($B30,bs!$A$4:$A$68,0),MATCH(I$6,bs!$B$3:$CO$3,0))</f>
        <v>16462</v>
      </c>
      <c r="J30" s="55">
        <f>INDEX(bs!$B$4:$CO$68,MATCH($B30,bs!$A$4:$A$68,0),MATCH(J$6,bs!$B$3:$CO$3,0))</f>
        <v>18428</v>
      </c>
      <c r="K30" s="28">
        <f>J30</f>
        <v>18428</v>
      </c>
      <c r="L30" s="28">
        <f>J30</f>
        <v>18428</v>
      </c>
      <c r="M30" s="28">
        <f t="shared" ref="M30:O31" si="40">L30</f>
        <v>18428</v>
      </c>
      <c r="N30" s="28">
        <f t="shared" si="40"/>
        <v>18428</v>
      </c>
      <c r="O30" s="28">
        <f t="shared" si="40"/>
        <v>18428</v>
      </c>
      <c r="P30" s="28">
        <f t="shared" ref="P30:P33" si="41">O30</f>
        <v>18428</v>
      </c>
      <c r="Q30" s="28">
        <f t="shared" ref="Q30:Q33" si="42">P30</f>
        <v>18428</v>
      </c>
    </row>
    <row r="31" spans="2:17" x14ac:dyDescent="0.3">
      <c r="B31" s="1" t="s">
        <v>214</v>
      </c>
      <c r="E31" s="55">
        <f>INDEX(bs!$B$4:$CO$68,MATCH($B31,bs!$A$4:$A$68,0),MATCH(E$6,bs!$B$3:$CO$3,0))</f>
        <v>354</v>
      </c>
      <c r="F31" s="55">
        <f>INDEX(bs!$B$4:$CO$68,MATCH($B31,bs!$A$4:$A$68,0),MATCH(F$6,bs!$B$3:$CO$3,0))</f>
        <v>331</v>
      </c>
      <c r="G31" s="55">
        <f>INDEX(bs!$B$4:$CO$68,MATCH($B31,bs!$A$4:$A$68,0),MATCH(G$6,bs!$B$3:$CO$3,0))</f>
        <v>388</v>
      </c>
      <c r="H31" s="55">
        <f>INDEX(bs!$B$4:$CO$68,MATCH($B31,bs!$A$4:$A$68,0),MATCH(H$6,bs!$B$3:$CO$3,0))</f>
        <v>387</v>
      </c>
      <c r="I31" s="55">
        <f>INDEX(bs!$B$4:$CO$68,MATCH($B31,bs!$A$4:$A$68,0),MATCH(I$6,bs!$B$3:$CO$3,0))</f>
        <v>392</v>
      </c>
      <c r="J31" s="55">
        <f>INDEX(bs!$B$4:$CO$68,MATCH($B31,bs!$A$4:$A$68,0),MATCH(J$6,bs!$B$3:$CO$3,0))</f>
        <v>434</v>
      </c>
      <c r="K31" s="28">
        <f>J31</f>
        <v>434</v>
      </c>
      <c r="L31" s="28">
        <f>K31</f>
        <v>434</v>
      </c>
      <c r="M31" s="28">
        <f t="shared" si="40"/>
        <v>434</v>
      </c>
      <c r="N31" s="28">
        <f t="shared" si="40"/>
        <v>434</v>
      </c>
      <c r="O31" s="28">
        <f t="shared" si="40"/>
        <v>434</v>
      </c>
      <c r="P31" s="28">
        <f t="shared" ref="P31" si="43">O31</f>
        <v>434</v>
      </c>
      <c r="Q31" s="28">
        <f t="shared" ref="Q31" si="44">P31</f>
        <v>434</v>
      </c>
    </row>
    <row r="32" spans="2:17" x14ac:dyDescent="0.3">
      <c r="B32" s="1" t="s">
        <v>215</v>
      </c>
      <c r="E32" s="55">
        <f>INDEX(bs!$B$4:$CO$68,MATCH($B32,bs!$A$4:$A$68,0),MATCH(E$6,bs!$B$3:$CO$3,0))</f>
        <v>1821</v>
      </c>
      <c r="F32" s="55">
        <f>INDEX(bs!$B$4:$CO$68,MATCH($B32,bs!$A$4:$A$68,0),MATCH(F$6,bs!$B$3:$CO$3,0))</f>
        <v>1665</v>
      </c>
      <c r="G32" s="55">
        <f>INDEX(bs!$B$4:$CO$68,MATCH($B32,bs!$A$4:$A$68,0),MATCH(G$6,bs!$B$3:$CO$3,0))</f>
        <v>1459</v>
      </c>
      <c r="H32" s="55">
        <f>INDEX(bs!$B$4:$CO$68,MATCH($B32,bs!$A$4:$A$68,0),MATCH(H$6,bs!$B$3:$CO$3,0))</f>
        <v>1524</v>
      </c>
      <c r="I32" s="55">
        <f>INDEX(bs!$B$4:$CO$68,MATCH($B32,bs!$A$4:$A$68,0),MATCH(I$6,bs!$B$3:$CO$3,0))</f>
        <v>1239</v>
      </c>
      <c r="J32" s="55">
        <f>INDEX(bs!$B$4:$CO$68,MATCH($B32,bs!$A$4:$A$68,0),MATCH(J$6,bs!$B$3:$CO$3,0))</f>
        <v>949</v>
      </c>
      <c r="K32" s="28">
        <f>J32</f>
        <v>949</v>
      </c>
      <c r="L32" s="28">
        <f>K32</f>
        <v>949</v>
      </c>
      <c r="M32" s="28">
        <f t="shared" ref="M32" si="45">L32</f>
        <v>949</v>
      </c>
      <c r="N32" s="28">
        <f t="shared" ref="N32" si="46">M32</f>
        <v>949</v>
      </c>
      <c r="O32" s="28">
        <f t="shared" ref="O32" si="47">N32</f>
        <v>949</v>
      </c>
      <c r="P32" s="28">
        <f t="shared" ref="P32" si="48">O32</f>
        <v>949</v>
      </c>
      <c r="Q32" s="28">
        <f t="shared" ref="Q32" si="49">P32</f>
        <v>949</v>
      </c>
    </row>
    <row r="33" spans="2:17" x14ac:dyDescent="0.3">
      <c r="B33" s="1" t="s">
        <v>216</v>
      </c>
      <c r="E33" s="55">
        <f>INDEX(bs!$B$4:$CO$68,MATCH($B33,bs!$A$4:$A$68,0),MATCH(E$6,bs!$B$3:$CO$3,0))</f>
        <v>1137</v>
      </c>
      <c r="F33" s="55">
        <f>INDEX(bs!$B$4:$CO$68,MATCH($B33,bs!$A$4:$A$68,0),MATCH(F$6,bs!$B$3:$CO$3,0))</f>
        <v>1269</v>
      </c>
      <c r="G33" s="55">
        <f>INDEX(bs!$B$4:$CO$68,MATCH($B33,bs!$A$4:$A$68,0),MATCH(G$6,bs!$B$3:$CO$3,0))</f>
        <v>1321</v>
      </c>
      <c r="H33" s="55">
        <f>INDEX(bs!$B$4:$CO$68,MATCH($B33,bs!$A$4:$A$68,0),MATCH(H$6,bs!$B$3:$CO$3,0))</f>
        <v>1105</v>
      </c>
      <c r="I33" s="55">
        <f>INDEX(bs!$B$4:$CO$68,MATCH($B33,bs!$A$4:$A$68,0),MATCH(I$6,bs!$B$3:$CO$3,0))</f>
        <v>1061</v>
      </c>
      <c r="J33" s="55">
        <f>INDEX(bs!$B$4:$CO$68,MATCH($B33,bs!$A$4:$A$68,0),MATCH(J$6,bs!$B$3:$CO$3,0))</f>
        <v>1446</v>
      </c>
      <c r="K33" s="28">
        <f>J33</f>
        <v>1446</v>
      </c>
      <c r="L33" s="28">
        <f>K33</f>
        <v>1446</v>
      </c>
      <c r="M33" s="28">
        <f t="shared" ref="M33:O33" si="50">L33</f>
        <v>1446</v>
      </c>
      <c r="N33" s="28">
        <f t="shared" si="50"/>
        <v>1446</v>
      </c>
      <c r="O33" s="28">
        <f t="shared" si="50"/>
        <v>1446</v>
      </c>
      <c r="P33" s="28">
        <f t="shared" si="41"/>
        <v>1446</v>
      </c>
      <c r="Q33" s="28">
        <f t="shared" si="42"/>
        <v>1446</v>
      </c>
    </row>
    <row r="34" spans="2:17" ht="15" thickBot="1" x14ac:dyDescent="0.35">
      <c r="B34" s="17" t="s">
        <v>18</v>
      </c>
      <c r="C34" s="17"/>
      <c r="D34" s="17"/>
      <c r="E34" s="77">
        <f t="shared" ref="E34:Q34" si="51">SUM(E28:E33)</f>
        <v>80073</v>
      </c>
      <c r="F34" s="77">
        <f t="shared" si="51"/>
        <v>80654</v>
      </c>
      <c r="G34" s="77">
        <f t="shared" si="51"/>
        <v>76845</v>
      </c>
      <c r="H34" s="77">
        <f t="shared" si="51"/>
        <v>74735</v>
      </c>
      <c r="I34" s="77">
        <f t="shared" si="51"/>
        <v>69964</v>
      </c>
      <c r="J34" s="77">
        <f t="shared" si="51"/>
        <v>77945</v>
      </c>
      <c r="K34" s="78">
        <f t="shared" si="51"/>
        <v>78173.389749864145</v>
      </c>
      <c r="L34" s="78">
        <f t="shared" si="51"/>
        <v>78580.313151944516</v>
      </c>
      <c r="M34" s="78">
        <f t="shared" si="51"/>
        <v>79057.097897483036</v>
      </c>
      <c r="N34" s="78">
        <f t="shared" si="51"/>
        <v>79327.159855432692</v>
      </c>
      <c r="O34" s="78">
        <f t="shared" si="51"/>
        <v>79602.623052541341</v>
      </c>
      <c r="P34" s="78">
        <f t="shared" si="51"/>
        <v>79883.595513592183</v>
      </c>
      <c r="Q34" s="78">
        <f t="shared" si="51"/>
        <v>80170.187423864016</v>
      </c>
    </row>
    <row r="35" spans="2:17" ht="15" thickTop="1" x14ac:dyDescent="0.3">
      <c r="E35" s="55"/>
      <c r="F35" s="55"/>
      <c r="G35" s="55"/>
      <c r="H35" s="55"/>
      <c r="I35" s="55"/>
      <c r="J35" s="55"/>
      <c r="K35" s="28"/>
      <c r="L35" s="28"/>
      <c r="M35" s="28"/>
      <c r="N35" s="28"/>
      <c r="O35" s="28"/>
      <c r="P35" s="28"/>
      <c r="Q35" s="28"/>
    </row>
    <row r="36" spans="2:17" ht="15" thickBot="1" x14ac:dyDescent="0.35">
      <c r="B36" s="17" t="s">
        <v>20</v>
      </c>
      <c r="C36" s="17"/>
      <c r="D36" s="17"/>
      <c r="E36" s="77">
        <f t="shared" ref="E36:Q36" si="52">E23-E34</f>
        <v>60981</v>
      </c>
      <c r="F36" s="77">
        <f t="shared" si="52"/>
        <v>65688</v>
      </c>
      <c r="G36" s="77">
        <f t="shared" si="52"/>
        <v>64160</v>
      </c>
      <c r="H36" s="77">
        <f t="shared" si="52"/>
        <v>62955</v>
      </c>
      <c r="I36" s="77">
        <f t="shared" si="52"/>
        <v>67401</v>
      </c>
      <c r="J36" s="77">
        <f t="shared" si="52"/>
        <v>75710</v>
      </c>
      <c r="K36" s="78">
        <f t="shared" si="52"/>
        <v>77807.420617563301</v>
      </c>
      <c r="L36" s="78">
        <f t="shared" si="52"/>
        <v>79996.915211578133</v>
      </c>
      <c r="M36" s="78">
        <f t="shared" si="52"/>
        <v>82293.697008001414</v>
      </c>
      <c r="N36" s="78">
        <f t="shared" si="52"/>
        <v>84651.961160292325</v>
      </c>
      <c r="O36" s="78">
        <f t="shared" si="52"/>
        <v>87071.768540370453</v>
      </c>
      <c r="P36" s="78">
        <f t="shared" si="52"/>
        <v>89554.248148560408</v>
      </c>
      <c r="Q36" s="78">
        <f t="shared" si="52"/>
        <v>92100.553134530972</v>
      </c>
    </row>
    <row r="37" spans="2:17" ht="15" thickTop="1" x14ac:dyDescent="0.3">
      <c r="E37" s="55"/>
      <c r="F37" s="55"/>
      <c r="G37" s="55"/>
      <c r="H37" s="55"/>
      <c r="I37" s="55"/>
      <c r="J37" s="55"/>
      <c r="K37" s="28"/>
      <c r="L37" s="28"/>
      <c r="M37" s="28"/>
      <c r="N37" s="28"/>
      <c r="O37" s="28"/>
      <c r="P37" s="28"/>
      <c r="Q37" s="28"/>
    </row>
    <row r="38" spans="2:17" x14ac:dyDescent="0.3">
      <c r="B38" s="1" t="s">
        <v>221</v>
      </c>
      <c r="E38" s="55">
        <f>INDEX(bs!$B$4:$CO$68,MATCH($B38,bs!$A$4:$A$68,0),MATCH(E$6,bs!$B$3:$CO$3,0))</f>
        <v>614</v>
      </c>
      <c r="F38" s="55">
        <f>INDEX(bs!$B$4:$CO$68,MATCH($B38,bs!$A$4:$A$68,0),MATCH(F$6,bs!$B$3:$CO$3,0))</f>
        <v>614</v>
      </c>
      <c r="G38" s="55">
        <f>INDEX(bs!$B$4:$CO$68,MATCH($B38,bs!$A$4:$A$68,0),MATCH(G$6,bs!$B$3:$CO$3,0))</f>
        <v>614</v>
      </c>
      <c r="H38" s="55">
        <f>INDEX(bs!$B$4:$CO$68,MATCH($B38,bs!$A$4:$A$68,0),MATCH(H$6,bs!$B$3:$CO$3,0))</f>
        <v>614</v>
      </c>
      <c r="I38" s="55">
        <f>INDEX(bs!$B$4:$CO$68,MATCH($B38,bs!$A$4:$A$68,0),MATCH(I$6,bs!$B$3:$CO$3,0))</f>
        <v>614</v>
      </c>
      <c r="J38" s="55">
        <f>INDEX(bs!$B$4:$CO$68,MATCH($B38,bs!$A$4:$A$68,0),MATCH(J$6,bs!$B$3:$CO$3,0))</f>
        <v>614</v>
      </c>
      <c r="K38" s="28">
        <f>I38</f>
        <v>614</v>
      </c>
      <c r="L38" s="28">
        <f>J38</f>
        <v>614</v>
      </c>
      <c r="M38" s="28">
        <f t="shared" ref="M38:O38" si="53">L38</f>
        <v>614</v>
      </c>
      <c r="N38" s="28">
        <f t="shared" si="53"/>
        <v>614</v>
      </c>
      <c r="O38" s="28">
        <f t="shared" si="53"/>
        <v>614</v>
      </c>
      <c r="P38" s="28">
        <f t="shared" ref="P38:P40" si="54">O38</f>
        <v>614</v>
      </c>
      <c r="Q38" s="28">
        <f t="shared" ref="Q38:Q40" si="55">P38</f>
        <v>614</v>
      </c>
    </row>
    <row r="39" spans="2:17" x14ac:dyDescent="0.3">
      <c r="B39" s="1" t="s">
        <v>222</v>
      </c>
      <c r="E39" s="55">
        <f>INDEX(bs!$B$4:$CO$68,MATCH($B39,bs!$A$4:$A$68,0),MATCH(E$6,bs!$B$3:$CO$3,0))</f>
        <v>188</v>
      </c>
      <c r="F39" s="55">
        <f>INDEX(bs!$B$4:$CO$68,MATCH($B39,bs!$A$4:$A$68,0),MATCH(F$6,bs!$B$3:$CO$3,0))</f>
        <v>192</v>
      </c>
      <c r="G39" s="55">
        <f>INDEX(bs!$B$4:$CO$68,MATCH($B39,bs!$A$4:$A$68,0),MATCH(G$6,bs!$B$3:$CO$3,0))</f>
        <v>195</v>
      </c>
      <c r="H39" s="55">
        <f>INDEX(bs!$B$4:$CO$68,MATCH($B39,bs!$A$4:$A$68,0),MATCH(H$6,bs!$B$3:$CO$3,0))</f>
        <v>204</v>
      </c>
      <c r="I39" s="55">
        <f>INDEX(bs!$B$4:$CO$68,MATCH($B39,bs!$A$4:$A$68,0),MATCH(I$6,bs!$B$3:$CO$3,0))</f>
        <v>208</v>
      </c>
      <c r="J39" s="55">
        <f>INDEX(bs!$B$4:$CO$68,MATCH($B39,bs!$A$4:$A$68,0),MATCH(J$6,bs!$B$3:$CO$3,0))</f>
        <v>214</v>
      </c>
      <c r="K39" s="28">
        <f>J39</f>
        <v>214</v>
      </c>
      <c r="L39" s="28">
        <f>K39</f>
        <v>214</v>
      </c>
      <c r="M39" s="28">
        <f t="shared" ref="M39:O39" si="56">L39</f>
        <v>214</v>
      </c>
      <c r="N39" s="28">
        <f t="shared" si="56"/>
        <v>214</v>
      </c>
      <c r="O39" s="28">
        <f t="shared" si="56"/>
        <v>214</v>
      </c>
      <c r="P39" s="28">
        <f t="shared" si="54"/>
        <v>214</v>
      </c>
      <c r="Q39" s="28">
        <f t="shared" si="55"/>
        <v>214</v>
      </c>
    </row>
    <row r="40" spans="2:17" x14ac:dyDescent="0.3">
      <c r="B40" s="1" t="s">
        <v>223</v>
      </c>
      <c r="E40" s="55">
        <f>INDEX(bs!$B$4:$CO$68,MATCH($B40,bs!$A$4:$A$68,0),MATCH(E$6,bs!$B$3:$CO$3,0))</f>
        <v>0</v>
      </c>
      <c r="F40" s="55">
        <f>INDEX(bs!$B$4:$CO$68,MATCH($B40,bs!$A$4:$A$68,0),MATCH(F$6,bs!$B$3:$CO$3,0))</f>
        <v>0</v>
      </c>
      <c r="G40" s="55">
        <f>INDEX(bs!$B$4:$CO$68,MATCH($B40,bs!$A$4:$A$68,0),MATCH(G$6,bs!$B$3:$CO$3,0))</f>
        <v>0</v>
      </c>
      <c r="H40" s="55">
        <f>INDEX(bs!$B$4:$CO$68,MATCH($B40,bs!$A$4:$A$68,0),MATCH(H$6,bs!$B$3:$CO$3,0))</f>
        <v>5150</v>
      </c>
      <c r="I40" s="55">
        <f>INDEX(bs!$B$4:$CO$68,MATCH($B40,bs!$A$4:$A$68,0),MATCH(I$6,bs!$B$3:$CO$3,0))</f>
        <v>5122</v>
      </c>
      <c r="J40" s="55">
        <f>INDEX(bs!$B$4:$CO$68,MATCH($B40,bs!$A$4:$A$68,0),MATCH(J$6,bs!$B$3:$CO$3,0))</f>
        <v>7116</v>
      </c>
      <c r="K40" s="28">
        <f>J40</f>
        <v>7116</v>
      </c>
      <c r="L40" s="28">
        <f>K40</f>
        <v>7116</v>
      </c>
      <c r="M40" s="28">
        <f t="shared" ref="M40:O40" si="57">L40</f>
        <v>7116</v>
      </c>
      <c r="N40" s="28">
        <f t="shared" si="57"/>
        <v>7116</v>
      </c>
      <c r="O40" s="28">
        <f t="shared" si="57"/>
        <v>7116</v>
      </c>
      <c r="P40" s="28">
        <f t="shared" si="54"/>
        <v>7116</v>
      </c>
      <c r="Q40" s="28">
        <f t="shared" si="55"/>
        <v>7116</v>
      </c>
    </row>
    <row r="41" spans="2:17" x14ac:dyDescent="0.3">
      <c r="B41" s="1" t="s">
        <v>225</v>
      </c>
      <c r="E41" s="55">
        <f>INDEX(bs!$B$4:$CO$68,MATCH($B41,bs!$A$4:$A$68,0),MATCH(E$6,bs!$B$3:$CO$3,0))</f>
        <v>23022</v>
      </c>
      <c r="F41" s="55">
        <f>INDEX(bs!$B$4:$CO$68,MATCH($B41,bs!$A$4:$A$68,0),MATCH(F$6,bs!$B$3:$CO$3,0))</f>
        <v>26081</v>
      </c>
      <c r="G41" s="55">
        <f>INDEX(bs!$B$4:$CO$68,MATCH($B41,bs!$A$4:$A$68,0),MATCH(G$6,bs!$B$3:$CO$3,0))</f>
        <v>22859</v>
      </c>
      <c r="H41" s="55">
        <f>INDEX(bs!$B$4:$CO$68,MATCH($B41,bs!$A$4:$A$68,0),MATCH(H$6,bs!$B$3:$CO$3,0))</f>
        <v>19814</v>
      </c>
      <c r="I41" s="55">
        <f>INDEX(bs!$B$4:$CO$68,MATCH($B41,bs!$A$4:$A$68,0),MATCH(I$6,bs!$B$3:$CO$3,0))</f>
        <v>22067</v>
      </c>
      <c r="J41" s="55">
        <f>INDEX(bs!$B$4:$CO$68,MATCH($B41,bs!$A$4:$A$68,0),MATCH(J$6,bs!$B$3:$CO$3,0))</f>
        <v>30459</v>
      </c>
      <c r="K41" s="28">
        <f t="shared" ref="K41:Q41" si="58">J41-K62</f>
        <v>30642.249414301037</v>
      </c>
      <c r="L41" s="28">
        <f t="shared" si="58"/>
        <v>30833.543234247671</v>
      </c>
      <c r="M41" s="28">
        <f t="shared" si="58"/>
        <v>31034.210623252751</v>
      </c>
      <c r="N41" s="28">
        <f t="shared" si="58"/>
        <v>31240.249660466234</v>
      </c>
      <c r="O41" s="28">
        <f t="shared" si="58"/>
        <v>31451.665664203148</v>
      </c>
      <c r="P41" s="28">
        <f t="shared" si="58"/>
        <v>31668.557274024155</v>
      </c>
      <c r="Q41" s="28">
        <f t="shared" si="58"/>
        <v>31891.025239392497</v>
      </c>
    </row>
    <row r="42" spans="2:17" x14ac:dyDescent="0.3">
      <c r="B42" s="1" t="s">
        <v>21</v>
      </c>
      <c r="E42" s="55">
        <f t="shared" ref="E42:G42" si="59">E43-SUM(E38:E41)</f>
        <v>37157</v>
      </c>
      <c r="F42" s="55">
        <f t="shared" si="59"/>
        <v>38801</v>
      </c>
      <c r="G42" s="55">
        <f t="shared" si="59"/>
        <v>40492</v>
      </c>
      <c r="H42" s="55">
        <f>H43-SUM(H38:H41)</f>
        <v>37173</v>
      </c>
      <c r="I42" s="55">
        <f t="shared" ref="I42:J42" si="60">I43-SUM(I38:I41)</f>
        <v>39390</v>
      </c>
      <c r="J42" s="55">
        <f t="shared" si="60"/>
        <v>37307</v>
      </c>
      <c r="K42" s="28">
        <f>J42+K63+K92</f>
        <v>39221.17120326226</v>
      </c>
      <c r="L42" s="28">
        <f t="shared" ref="L42:Q42" si="61">K42+L63+L92</f>
        <v>41219.371977330462</v>
      </c>
      <c r="M42" s="28">
        <f t="shared" si="61"/>
        <v>43315.486384748641</v>
      </c>
      <c r="N42" s="28">
        <f t="shared" si="61"/>
        <v>45467.71149982611</v>
      </c>
      <c r="O42" s="28">
        <f t="shared" si="61"/>
        <v>47676.102876167308</v>
      </c>
      <c r="P42" s="28">
        <f t="shared" si="61"/>
        <v>49941.690874536245</v>
      </c>
      <c r="Q42" s="28">
        <f t="shared" si="61"/>
        <v>52265.527895138446</v>
      </c>
    </row>
    <row r="43" spans="2:17" ht="15" thickBot="1" x14ac:dyDescent="0.35">
      <c r="B43" s="17" t="s">
        <v>22</v>
      </c>
      <c r="C43" s="17"/>
      <c r="D43" s="17"/>
      <c r="E43" s="77">
        <f>INDEX(bs!$B$4:$CO$68,MATCH($B43,bs!$A$4:$A$68,0),MATCH(E$6,bs!$B$3:$CO$3,0))</f>
        <v>60981</v>
      </c>
      <c r="F43" s="77">
        <f>INDEX(bs!$B$4:$CO$68,MATCH($B43,bs!$A$4:$A$68,0),MATCH(F$6,bs!$B$3:$CO$3,0))</f>
        <v>65688</v>
      </c>
      <c r="G43" s="77">
        <f>INDEX(bs!$B$4:$CO$68,MATCH($B43,bs!$A$4:$A$68,0),MATCH(G$6,bs!$B$3:$CO$3,0))</f>
        <v>64160</v>
      </c>
      <c r="H43" s="77">
        <f>INDEX(bs!$B$4:$CO$68,MATCH($B43,bs!$A$4:$A$68,0),MATCH(H$6,bs!$B$3:$CO$3,0))</f>
        <v>62955</v>
      </c>
      <c r="I43" s="77">
        <f>INDEX(bs!$B$4:$CO$68,MATCH($B43,bs!$A$4:$A$68,0),MATCH(I$6,bs!$B$3:$CO$3,0))</f>
        <v>67401</v>
      </c>
      <c r="J43" s="77">
        <f>INDEX(bs!$B$4:$CO$68,MATCH($B43,bs!$A$4:$A$68,0),MATCH(J$6,bs!$B$3:$CO$3,0))</f>
        <v>75710</v>
      </c>
      <c r="K43" s="78">
        <f>SUM(K38:K42)</f>
        <v>77807.420617563301</v>
      </c>
      <c r="L43" s="78">
        <f>SUM(L38:L42)</f>
        <v>79996.915211578133</v>
      </c>
      <c r="M43" s="78">
        <f t="shared" ref="M43:O43" si="62">SUM(M38:M42)</f>
        <v>82293.697008001385</v>
      </c>
      <c r="N43" s="78">
        <f t="shared" si="62"/>
        <v>84651.96116029234</v>
      </c>
      <c r="O43" s="78">
        <f t="shared" si="62"/>
        <v>87071.768540370453</v>
      </c>
      <c r="P43" s="78">
        <f t="shared" ref="P43:Q43" si="63">SUM(P38:P42)</f>
        <v>89554.248148560408</v>
      </c>
      <c r="Q43" s="78">
        <f t="shared" si="63"/>
        <v>92100.553134530943</v>
      </c>
    </row>
    <row r="44" spans="2:17" ht="15" thickTop="1" x14ac:dyDescent="0.3">
      <c r="E44" s="80"/>
      <c r="F44" s="80"/>
      <c r="G44" s="80"/>
      <c r="H44" s="80"/>
      <c r="I44" s="80"/>
      <c r="J44" s="80"/>
      <c r="K44" s="81"/>
      <c r="L44" s="81"/>
      <c r="M44" s="81"/>
      <c r="N44" s="81"/>
      <c r="O44" s="81"/>
      <c r="P44" s="81"/>
      <c r="Q44" s="81"/>
    </row>
    <row r="45" spans="2:17" x14ac:dyDescent="0.3">
      <c r="B45" s="21" t="s">
        <v>23</v>
      </c>
      <c r="E45" s="56">
        <f>ROUND(E36-E43,0)</f>
        <v>0</v>
      </c>
      <c r="F45" s="56">
        <f t="shared" ref="F45:Q45" si="64">ROUND(F36-F43,0)</f>
        <v>0</v>
      </c>
      <c r="G45" s="56">
        <f t="shared" si="64"/>
        <v>0</v>
      </c>
      <c r="H45" s="56">
        <f t="shared" si="64"/>
        <v>0</v>
      </c>
      <c r="I45" s="56">
        <f t="shared" si="64"/>
        <v>0</v>
      </c>
      <c r="J45" s="56">
        <f t="shared" si="64"/>
        <v>0</v>
      </c>
      <c r="K45" s="30">
        <f t="shared" si="64"/>
        <v>0</v>
      </c>
      <c r="L45" s="30">
        <f t="shared" si="64"/>
        <v>0</v>
      </c>
      <c r="M45" s="30">
        <f t="shared" si="64"/>
        <v>0</v>
      </c>
      <c r="N45" s="30">
        <f t="shared" si="64"/>
        <v>0</v>
      </c>
      <c r="O45" s="30">
        <f t="shared" si="64"/>
        <v>0</v>
      </c>
      <c r="P45" s="30">
        <f t="shared" si="64"/>
        <v>0</v>
      </c>
      <c r="Q45" s="30">
        <f t="shared" si="64"/>
        <v>0</v>
      </c>
    </row>
    <row r="46" spans="2:17" x14ac:dyDescent="0.3">
      <c r="E46" s="80"/>
      <c r="F46" s="80"/>
      <c r="G46" s="80"/>
      <c r="H46" s="80"/>
      <c r="I46" s="80"/>
      <c r="J46" s="80"/>
      <c r="K46" s="81"/>
      <c r="L46" s="81"/>
      <c r="M46" s="81"/>
      <c r="N46" s="81"/>
      <c r="O46" s="81"/>
      <c r="P46" s="81"/>
      <c r="Q46" s="81"/>
    </row>
    <row r="47" spans="2:17" x14ac:dyDescent="0.3">
      <c r="B47" s="2" t="s">
        <v>29</v>
      </c>
      <c r="C47" s="3"/>
      <c r="D47" s="5"/>
      <c r="E47" s="79"/>
      <c r="F47" s="79"/>
      <c r="G47" s="79"/>
      <c r="H47" s="79"/>
      <c r="I47" s="79"/>
      <c r="J47" s="79"/>
      <c r="K47" s="82"/>
      <c r="L47" s="82"/>
      <c r="M47" s="83"/>
      <c r="N47" s="83"/>
      <c r="O47" s="83"/>
      <c r="P47" s="83"/>
      <c r="Q47" s="83"/>
    </row>
    <row r="48" spans="2:17" x14ac:dyDescent="0.3">
      <c r="E48" s="80"/>
      <c r="F48" s="80"/>
      <c r="G48" s="80"/>
      <c r="H48" s="80"/>
      <c r="I48" s="80"/>
      <c r="J48" s="80"/>
      <c r="K48" s="81"/>
      <c r="L48" s="81"/>
      <c r="M48" s="81"/>
      <c r="N48" s="81"/>
      <c r="O48" s="81"/>
      <c r="P48" s="81"/>
      <c r="Q48" s="81"/>
    </row>
    <row r="49" spans="2:17" x14ac:dyDescent="0.3">
      <c r="B49" s="1" t="s">
        <v>134</v>
      </c>
      <c r="E49" s="55">
        <f>INDEX('p&amp;l'!$B$5:$CO$107,MATCH($B49,'p&amp;l'!$A$5:$A$107,0),MATCH(E$6,'p&amp;l'!$B$3:$CO$3,0))</f>
        <v>19564</v>
      </c>
      <c r="F49" s="55">
        <f>INDEX('p&amp;l'!$B$5:$CO$107,MATCH($B49,'p&amp;l'!$A$5:$A$107,0),MATCH(F$6,'p&amp;l'!$B$3:$CO$3,0))</f>
        <v>24492</v>
      </c>
      <c r="G49" s="55">
        <f>INDEX('p&amp;l'!$B$5:$CO$107,MATCH($B49,'p&amp;l'!$A$5:$A$107,0),MATCH(G$6,'p&amp;l'!$B$3:$CO$3,0))</f>
        <v>25877</v>
      </c>
      <c r="H49" s="55">
        <f>INDEX('p&amp;l'!$B$5:$CO$107,MATCH($B49,'p&amp;l'!$A$5:$A$107,0),MATCH(H$6,'p&amp;l'!$B$3:$CO$3,0))</f>
        <v>25776</v>
      </c>
      <c r="I49" s="55">
        <f>INDEX('p&amp;l'!$B$5:$CO$107,MATCH($B49,'p&amp;l'!$A$5:$A$107,0),MATCH(I$6,'p&amp;l'!$B$3:$CO$3,0))</f>
        <v>25684</v>
      </c>
      <c r="J49" s="55">
        <f>INDEX('p&amp;l'!$B$5:$CO$107,MATCH($B49,'p&amp;l'!$A$5:$A$107,0),MATCH(J$6,'p&amp;l'!$B$3:$CO$3,0))</f>
        <v>27655</v>
      </c>
      <c r="K49" s="28">
        <f>J49*(1+summary!K24)</f>
        <v>28341.600000000002</v>
      </c>
      <c r="L49" s="28">
        <f>K49*(1+summary!L24)</f>
        <v>29255.499999999996</v>
      </c>
      <c r="M49" s="28">
        <f>L49*(1+summary!M24)</f>
        <v>30326.3</v>
      </c>
      <c r="N49" s="28">
        <f>M49*(1+summary!N24)</f>
        <v>30932.826000000001</v>
      </c>
      <c r="O49" s="28">
        <f>N49*(1+summary!O24)</f>
        <v>31551.482520000001</v>
      </c>
      <c r="P49" s="28">
        <f>O49*(1+summary!P24)</f>
        <v>32182.512170400001</v>
      </c>
      <c r="Q49" s="28">
        <f>P49*(1+summary!Q24)</f>
        <v>32826.162413808001</v>
      </c>
    </row>
    <row r="50" spans="2:17" x14ac:dyDescent="0.3">
      <c r="B50" s="1" t="s">
        <v>32</v>
      </c>
      <c r="E50" s="55">
        <f>INDEX('p&amp;l'!$B$5:$CO$107,MATCH($B50,'p&amp;l'!$A$5:$A$107,0),MATCH(E$6,'p&amp;l'!$B$3:$CO$3,0))</f>
        <v>-5033</v>
      </c>
      <c r="F50" s="55">
        <f>INDEX('p&amp;l'!$B$5:$CO$107,MATCH($B50,'p&amp;l'!$A$5:$A$107,0),MATCH(F$6,'p&amp;l'!$B$3:$CO$3,0))</f>
        <v>-4550</v>
      </c>
      <c r="G50" s="55">
        <f>INDEX('p&amp;l'!$B$5:$CO$107,MATCH($B50,'p&amp;l'!$A$5:$A$107,0),MATCH(G$6,'p&amp;l'!$B$3:$CO$3,0))</f>
        <v>-4437</v>
      </c>
      <c r="H50" s="55">
        <f>INDEX('p&amp;l'!$B$5:$CO$107,MATCH($B50,'p&amp;l'!$A$5:$A$107,0),MATCH(H$6,'p&amp;l'!$B$3:$CO$3,0))</f>
        <v>-4138</v>
      </c>
      <c r="I50" s="55">
        <f>INDEX('p&amp;l'!$B$5:$CO$107,MATCH($B50,'p&amp;l'!$A$5:$A$107,0),MATCH(I$6,'p&amp;l'!$B$3:$CO$3,0))</f>
        <v>-4382</v>
      </c>
      <c r="J50" s="55">
        <f>INDEX('p&amp;l'!$B$5:$CO$107,MATCH($B50,'p&amp;l'!$A$5:$A$107,0),MATCH(J$6,'p&amp;l'!$B$3:$CO$3,0))</f>
        <v>-4554</v>
      </c>
      <c r="K50" s="28">
        <f>-K49*(1-summary!K26)</f>
        <v>-4667.0636919182789</v>
      </c>
      <c r="L50" s="28">
        <f>-L49*(1-summary!L26)</f>
        <v>-4817.557295244982</v>
      </c>
      <c r="M50" s="28">
        <f>-M49*(1-summary!M26)</f>
        <v>-4993.8879117700235</v>
      </c>
      <c r="N50" s="28">
        <f>-N49*(1-summary!N26)</f>
        <v>-5093.765670005424</v>
      </c>
      <c r="O50" s="28">
        <f>-O49*(1-summary!O26)</f>
        <v>-5195.640983405533</v>
      </c>
      <c r="P50" s="28">
        <f>-P49*(1-summary!P26)</f>
        <v>-5299.5538030736434</v>
      </c>
      <c r="Q50" s="28">
        <f>-Q49*(1-summary!Q26)</f>
        <v>-5405.5448791351164</v>
      </c>
    </row>
    <row r="51" spans="2:17" ht="15" thickBot="1" x14ac:dyDescent="0.35">
      <c r="B51" s="17" t="s">
        <v>33</v>
      </c>
      <c r="C51" s="17"/>
      <c r="D51" s="17"/>
      <c r="E51" s="77">
        <f t="shared" ref="E51:G51" si="65">SUM(E49:E50)</f>
        <v>14531</v>
      </c>
      <c r="F51" s="77">
        <f t="shared" si="65"/>
        <v>19942</v>
      </c>
      <c r="G51" s="77">
        <f t="shared" si="65"/>
        <v>21440</v>
      </c>
      <c r="H51" s="77">
        <f t="shared" ref="H51:K51" si="66">SUM(H49:H50)</f>
        <v>21638</v>
      </c>
      <c r="I51" s="77">
        <f t="shared" si="66"/>
        <v>21302</v>
      </c>
      <c r="J51" s="77">
        <f t="shared" si="66"/>
        <v>23101</v>
      </c>
      <c r="K51" s="78">
        <f t="shared" si="66"/>
        <v>23674.536308081722</v>
      </c>
      <c r="L51" s="78">
        <f t="shared" ref="L51" si="67">SUM(L49:L50)</f>
        <v>24437.942704755013</v>
      </c>
      <c r="M51" s="78">
        <f t="shared" ref="M51" si="68">SUM(M49:M50)</f>
        <v>25332.412088229976</v>
      </c>
      <c r="N51" s="78">
        <f t="shared" ref="N51" si="69">SUM(N49:N50)</f>
        <v>25839.060329994576</v>
      </c>
      <c r="O51" s="78">
        <f t="shared" ref="O51:Q51" si="70">SUM(O49:O50)</f>
        <v>26355.841536594467</v>
      </c>
      <c r="P51" s="78">
        <f t="shared" si="70"/>
        <v>26882.958367326359</v>
      </c>
      <c r="Q51" s="78">
        <f t="shared" si="70"/>
        <v>27420.617534672885</v>
      </c>
    </row>
    <row r="52" spans="2:17" ht="15" thickTop="1" x14ac:dyDescent="0.3">
      <c r="B52" s="1" t="s">
        <v>34</v>
      </c>
      <c r="E52" s="55">
        <f>E55-E51-E54-E53</f>
        <v>-6823</v>
      </c>
      <c r="F52" s="55">
        <f t="shared" ref="F52:J52" si="71">F55-F51-F54-F53</f>
        <v>-9411</v>
      </c>
      <c r="G52" s="55">
        <f t="shared" si="71"/>
        <v>-10369</v>
      </c>
      <c r="H52" s="55">
        <f t="shared" si="71"/>
        <v>-9920</v>
      </c>
      <c r="I52" s="55">
        <f t="shared" si="71"/>
        <v>-9400</v>
      </c>
      <c r="J52" s="55">
        <f t="shared" si="71"/>
        <v>-10397</v>
      </c>
      <c r="K52" s="28">
        <f>-summary!K27</f>
        <v>-11336.640000000001</v>
      </c>
      <c r="L52" s="28">
        <f>-summary!L27</f>
        <v>-11702.199999999999</v>
      </c>
      <c r="M52" s="28">
        <f>-summary!M27</f>
        <v>-12130.52</v>
      </c>
      <c r="N52" s="28">
        <f>-summary!N27</f>
        <v>-12373.130400000002</v>
      </c>
      <c r="O52" s="28">
        <f>-summary!O27</f>
        <v>-12620.593008000002</v>
      </c>
      <c r="P52" s="28">
        <f>-summary!P27</f>
        <v>-12873.004868160002</v>
      </c>
      <c r="Q52" s="28">
        <f>-summary!Q27</f>
        <v>-13130.464965523201</v>
      </c>
    </row>
    <row r="53" spans="2:17" x14ac:dyDescent="0.3">
      <c r="B53" s="1" t="s">
        <v>286</v>
      </c>
      <c r="E53" s="55">
        <f>INDEX('p&amp;l'!$B$5:$CO$107,MATCH($B53,'p&amp;l'!$A$5:$A$107,0),MATCH(E$6,'p&amp;l'!$B$3:$CO$3,0))</f>
        <v>24209</v>
      </c>
      <c r="F53" s="55">
        <f>INDEX('p&amp;l'!$B$5:$CO$107,MATCH($B53,'p&amp;l'!$A$5:$A$107,0),MATCH(F$6,'p&amp;l'!$B$3:$CO$3,0))</f>
        <v>419</v>
      </c>
      <c r="G53" s="55">
        <f>INDEX('p&amp;l'!$B$5:$CO$107,MATCH($B53,'p&amp;l'!$A$5:$A$107,0),MATCH(G$6,'p&amp;l'!$B$3:$CO$3,0))</f>
        <v>498</v>
      </c>
      <c r="H53" s="55">
        <f>INDEX('p&amp;l'!$B$5:$CO$107,MATCH($B53,'p&amp;l'!$A$5:$A$107,0),MATCH(H$6,'p&amp;l'!$B$3:$CO$3,0))</f>
        <v>455</v>
      </c>
      <c r="I53" s="55">
        <f>INDEX('p&amp;l'!$B$5:$CO$107,MATCH($B53,'p&amp;l'!$A$5:$A$107,0),MATCH(I$6,'p&amp;l'!$B$3:$CO$3,0))</f>
        <v>415</v>
      </c>
      <c r="J53" s="55">
        <f>INDEX('p&amp;l'!$B$5:$CO$107,MATCH($B53,'p&amp;l'!$A$5:$A$107,0),MATCH(J$6,'p&amp;l'!$B$3:$CO$3,0))</f>
        <v>442</v>
      </c>
      <c r="K53" s="28">
        <f>J53/J21*K21</f>
        <v>442</v>
      </c>
      <c r="L53" s="28">
        <f t="shared" ref="L53:Q53" si="72">K53/K21*L21</f>
        <v>442</v>
      </c>
      <c r="M53" s="28">
        <f t="shared" si="72"/>
        <v>442</v>
      </c>
      <c r="N53" s="28">
        <f t="shared" si="72"/>
        <v>442</v>
      </c>
      <c r="O53" s="28">
        <f t="shared" si="72"/>
        <v>442</v>
      </c>
      <c r="P53" s="28">
        <f t="shared" si="72"/>
        <v>442</v>
      </c>
      <c r="Q53" s="28">
        <f t="shared" si="72"/>
        <v>442</v>
      </c>
    </row>
    <row r="54" spans="2:17" x14ac:dyDescent="0.3">
      <c r="B54" s="1" t="s">
        <v>246</v>
      </c>
      <c r="E54" s="55">
        <f>INDEX('p&amp;l'!$B$5:$CO$107,MATCH($B54,'p&amp;l'!$A$5:$A$107,0),MATCH(E$6,'p&amp;l'!$B$3:$CO$3,0))</f>
        <v>-364</v>
      </c>
      <c r="F54" s="55">
        <f>INDEX('p&amp;l'!$B$5:$CO$107,MATCH($B54,'p&amp;l'!$A$5:$A$107,0),MATCH(F$6,'p&amp;l'!$B$3:$CO$3,0))</f>
        <v>73</v>
      </c>
      <c r="G54" s="55">
        <f>INDEX('p&amp;l'!$B$5:$CO$107,MATCH($B54,'p&amp;l'!$A$5:$A$107,0),MATCH(G$6,'p&amp;l'!$B$3:$CO$3,0))</f>
        <v>-357</v>
      </c>
      <c r="H54" s="55">
        <f>INDEX('p&amp;l'!$B$5:$CO$107,MATCH($B54,'p&amp;l'!$A$5:$A$107,0),MATCH(H$6,'p&amp;l'!$B$3:$CO$3,0))</f>
        <v>-476</v>
      </c>
      <c r="I54" s="55">
        <f>INDEX('p&amp;l'!$B$5:$CO$107,MATCH($B54,'p&amp;l'!$A$5:$A$107,0),MATCH(I$6,'p&amp;l'!$B$3:$CO$3,0))</f>
        <v>-644</v>
      </c>
      <c r="J54" s="55">
        <f>INDEX('p&amp;l'!$B$5:$CO$107,MATCH($B54,'p&amp;l'!$A$5:$A$107,0),MATCH(J$6,'p&amp;l'!$B$3:$CO$3,0))</f>
        <v>-854</v>
      </c>
      <c r="K54" s="28"/>
      <c r="L54" s="28"/>
      <c r="M54" s="28"/>
      <c r="N54" s="28"/>
      <c r="O54" s="28"/>
      <c r="P54" s="28"/>
      <c r="Q54" s="28"/>
    </row>
    <row r="55" spans="2:17" ht="15" thickBot="1" x14ac:dyDescent="0.35">
      <c r="B55" s="17" t="s">
        <v>35</v>
      </c>
      <c r="C55" s="17"/>
      <c r="D55" s="17"/>
      <c r="E55" s="77">
        <f>INDEX('p&amp;l'!$B$5:$CO$107,MATCH($B55,'p&amp;l'!$A$5:$A$107,0),MATCH(E$6,'p&amp;l'!$B$3:$CO$3,0))</f>
        <v>31553</v>
      </c>
      <c r="F55" s="77">
        <f>INDEX('p&amp;l'!$B$5:$CO$107,MATCH($B55,'p&amp;l'!$A$5:$A$107,0),MATCH(F$6,'p&amp;l'!$B$3:$CO$3,0))</f>
        <v>11023</v>
      </c>
      <c r="G55" s="77">
        <f>INDEX('p&amp;l'!$B$5:$CO$107,MATCH($B55,'p&amp;l'!$A$5:$A$107,0),MATCH(G$6,'p&amp;l'!$B$3:$CO$3,0))</f>
        <v>11212</v>
      </c>
      <c r="H55" s="77">
        <f>INDEX('p&amp;l'!$B$5:$CO$107,MATCH($B55,'p&amp;l'!$A$5:$A$107,0),MATCH(H$6,'p&amp;l'!$B$3:$CO$3,0))</f>
        <v>11697</v>
      </c>
      <c r="I55" s="77">
        <f>INDEX('p&amp;l'!$B$5:$CO$107,MATCH($B55,'p&amp;l'!$A$5:$A$107,0),MATCH(I$6,'p&amp;l'!$B$3:$CO$3,0))</f>
        <v>11673</v>
      </c>
      <c r="J55" s="77">
        <f>INDEX('p&amp;l'!$B$5:$CO$107,MATCH($B55,'p&amp;l'!$A$5:$A$107,0),MATCH(J$6,'p&amp;l'!$B$3:$CO$3,0))</f>
        <v>12292</v>
      </c>
      <c r="K55" s="78">
        <f t="shared" ref="K55" si="73">SUM(K51:K54)</f>
        <v>12779.896308081721</v>
      </c>
      <c r="L55" s="78">
        <f t="shared" ref="L55:O55" si="74">SUM(L51:L54)</f>
        <v>13177.742704755014</v>
      </c>
      <c r="M55" s="78">
        <f t="shared" si="74"/>
        <v>13643.892088229975</v>
      </c>
      <c r="N55" s="78">
        <f t="shared" si="74"/>
        <v>13907.929929994574</v>
      </c>
      <c r="O55" s="78">
        <f t="shared" si="74"/>
        <v>14177.248528594466</v>
      </c>
      <c r="P55" s="78">
        <f t="shared" ref="P55:Q55" si="75">SUM(P51:P54)</f>
        <v>14451.953499166357</v>
      </c>
      <c r="Q55" s="78">
        <f t="shared" si="75"/>
        <v>14732.152569149684</v>
      </c>
    </row>
    <row r="56" spans="2:17" ht="15" thickTop="1" x14ac:dyDescent="0.3">
      <c r="B56" s="1" t="s">
        <v>36</v>
      </c>
      <c r="E56" s="55">
        <f>E57-E55</f>
        <v>-902</v>
      </c>
      <c r="F56" s="55">
        <f t="shared" ref="F56:G56" si="76">F57-F55</f>
        <v>-1038</v>
      </c>
      <c r="G56" s="55">
        <f t="shared" si="76"/>
        <v>-1512</v>
      </c>
      <c r="H56" s="55">
        <f t="shared" ref="H56:J56" si="77">H57-H55</f>
        <v>-1241</v>
      </c>
      <c r="I56" s="55">
        <f t="shared" si="77"/>
        <v>-1019</v>
      </c>
      <c r="J56" s="55">
        <f t="shared" si="77"/>
        <v>-1305</v>
      </c>
      <c r="K56" s="28">
        <f>(J20+J19)*(-summary!K29)</f>
        <v>-1324.7148984157589</v>
      </c>
      <c r="L56" s="28">
        <f>(K20+K19)*(-summary!L29)</f>
        <v>-1314.62054657249</v>
      </c>
      <c r="M56" s="28">
        <f>(L20+L19)*(-summary!M29)</f>
        <v>-1305.4258280168506</v>
      </c>
      <c r="N56" s="28">
        <f>(M20+M19)*(-summary!N29)</f>
        <v>-1297.0614206353159</v>
      </c>
      <c r="O56" s="28">
        <f>(N20+N19)*(-summary!O29)</f>
        <v>-1293.7080724247148</v>
      </c>
      <c r="P56" s="28">
        <f>(O20+O19)*(-summary!P29)</f>
        <v>-1290.7389744654445</v>
      </c>
      <c r="Q56" s="28">
        <f>(P20+P19)*(-summary!Q29)</f>
        <v>-1288.15485869297</v>
      </c>
    </row>
    <row r="57" spans="2:17" ht="15" thickBot="1" x14ac:dyDescent="0.35">
      <c r="B57" s="17" t="s">
        <v>37</v>
      </c>
      <c r="C57" s="17"/>
      <c r="D57" s="17"/>
      <c r="E57" s="77">
        <f>INDEX('p&amp;l'!$B$5:$CO$107,MATCH($B57,'p&amp;l'!$A$5:$A$107,0),MATCH(E$6,'p&amp;l'!$B$3:$CO$3,0))</f>
        <v>30651</v>
      </c>
      <c r="F57" s="77">
        <f>INDEX('p&amp;l'!$B$5:$CO$107,MATCH($B57,'p&amp;l'!$A$5:$A$107,0),MATCH(F$6,'p&amp;l'!$B$3:$CO$3,0))</f>
        <v>9985</v>
      </c>
      <c r="G57" s="77">
        <f>INDEX('p&amp;l'!$B$5:$CO$107,MATCH($B57,'p&amp;l'!$A$5:$A$107,0),MATCH(G$6,'p&amp;l'!$B$3:$CO$3,0))</f>
        <v>9700</v>
      </c>
      <c r="H57" s="77">
        <f>INDEX('p&amp;l'!$B$5:$CO$107,MATCH($B57,'p&amp;l'!$A$5:$A$107,0),MATCH(H$6,'p&amp;l'!$B$3:$CO$3,0))</f>
        <v>10456</v>
      </c>
      <c r="I57" s="77">
        <f>INDEX('p&amp;l'!$B$5:$CO$107,MATCH($B57,'p&amp;l'!$A$5:$A$107,0),MATCH(I$6,'p&amp;l'!$B$3:$CO$3,0))</f>
        <v>10654</v>
      </c>
      <c r="J57" s="77">
        <f>INDEX('p&amp;l'!$B$5:$CO$107,MATCH($B57,'p&amp;l'!$A$5:$A$107,0),MATCH(J$6,'p&amp;l'!$B$3:$CO$3,0))</f>
        <v>10987</v>
      </c>
      <c r="K57" s="78">
        <f t="shared" ref="K57" si="78">SUM(K55:K56)</f>
        <v>11455.181409665962</v>
      </c>
      <c r="L57" s="78">
        <f t="shared" ref="L57:M57" si="79">SUM(L55:L56)</f>
        <v>11863.122158182523</v>
      </c>
      <c r="M57" s="78">
        <f t="shared" si="79"/>
        <v>12338.466260213125</v>
      </c>
      <c r="N57" s="78">
        <f t="shared" ref="N57" si="80">SUM(N55:N56)</f>
        <v>12610.868509359258</v>
      </c>
      <c r="O57" s="78">
        <f t="shared" ref="O57:Q57" si="81">SUM(O55:O56)</f>
        <v>12883.540456169751</v>
      </c>
      <c r="P57" s="78">
        <f t="shared" si="81"/>
        <v>13161.214524700912</v>
      </c>
      <c r="Q57" s="78">
        <f t="shared" si="81"/>
        <v>13443.997710456715</v>
      </c>
    </row>
    <row r="58" spans="2:17" ht="15" thickTop="1" x14ac:dyDescent="0.3">
      <c r="B58" s="1" t="s">
        <v>43</v>
      </c>
      <c r="E58" s="55">
        <f>INDEX('p&amp;l'!$B$5:$CO$107,MATCH($B58,'p&amp;l'!$A$5:$A$107,0),MATCH(E$6,'p&amp;l'!$B$3:$CO$3,0))</f>
        <v>-1124</v>
      </c>
      <c r="F58" s="55">
        <f>INDEX('p&amp;l'!$B$5:$CO$107,MATCH($B58,'p&amp;l'!$A$5:$A$107,0),MATCH(F$6,'p&amp;l'!$B$3:$CO$3,0))</f>
        <v>-1634</v>
      </c>
      <c r="G58" s="55">
        <f>INDEX('p&amp;l'!$B$5:$CO$107,MATCH($B58,'p&amp;l'!$A$5:$A$107,0),MATCH(G$6,'p&amp;l'!$B$3:$CO$3,0))</f>
        <v>-1788</v>
      </c>
      <c r="H58" s="55">
        <f>INDEX('p&amp;l'!$B$5:$CO$107,MATCH($B58,'p&amp;l'!$A$5:$A$107,0),MATCH(H$6,'p&amp;l'!$B$3:$CO$3,0))</f>
        <v>-1784</v>
      </c>
      <c r="I58" s="55">
        <f>INDEX('p&amp;l'!$B$5:$CO$107,MATCH($B58,'p&amp;l'!$A$5:$A$107,0),MATCH(I$6,'p&amp;l'!$B$3:$CO$3,0))</f>
        <v>-1491</v>
      </c>
      <c r="J58" s="55">
        <f>INDEX('p&amp;l'!$B$5:$CO$107,MATCH($B58,'p&amp;l'!$A$5:$A$107,0),MATCH(J$6,'p&amp;l'!$B$3:$CO$3,0))</f>
        <v>-1663</v>
      </c>
      <c r="K58" s="28">
        <f>-SUM(J29:K29,J27:K27)/2*summary!K30</f>
        <v>-2162.4</v>
      </c>
      <c r="L58" s="28">
        <f>-SUM(K29:L29,K27:L27)/2*summary!L30</f>
        <v>-2162.4</v>
      </c>
      <c r="M58" s="28">
        <f>-SUM(L29:M29,L27:M27)/2*summary!M30</f>
        <v>-2162.4</v>
      </c>
      <c r="N58" s="28">
        <f>-SUM(M29:N29,M27:N27)/2*summary!N30</f>
        <v>-2162.4</v>
      </c>
      <c r="O58" s="28">
        <f>-SUM(N29:O29,N27:O27)/2*summary!O30</f>
        <v>-2162.4</v>
      </c>
      <c r="P58" s="28">
        <f>-SUM(O29:P29,O27:P27)/2*summary!P30</f>
        <v>-2162.4</v>
      </c>
      <c r="Q58" s="28">
        <f>-SUM(P29:Q29,P27:Q27)/2*summary!Q30</f>
        <v>-2162.4</v>
      </c>
    </row>
    <row r="59" spans="2:17" ht="15" thickBot="1" x14ac:dyDescent="0.35">
      <c r="B59" s="17" t="s">
        <v>38</v>
      </c>
      <c r="C59" s="17"/>
      <c r="D59" s="17"/>
      <c r="E59" s="77">
        <f t="shared" ref="E59:O59" si="82">SUM(E57:E58)</f>
        <v>29527</v>
      </c>
      <c r="F59" s="77">
        <f t="shared" si="82"/>
        <v>8351</v>
      </c>
      <c r="G59" s="77">
        <f t="shared" si="82"/>
        <v>7912</v>
      </c>
      <c r="H59" s="77">
        <f t="shared" ref="H59:K59" si="83">SUM(H57:H58)</f>
        <v>8672</v>
      </c>
      <c r="I59" s="77">
        <f t="shared" si="83"/>
        <v>9163</v>
      </c>
      <c r="J59" s="77">
        <f t="shared" si="83"/>
        <v>9324</v>
      </c>
      <c r="K59" s="78">
        <f t="shared" si="83"/>
        <v>9292.7814096659622</v>
      </c>
      <c r="L59" s="78">
        <f t="shared" si="82"/>
        <v>9700.7221581825233</v>
      </c>
      <c r="M59" s="78">
        <f t="shared" si="82"/>
        <v>10176.066260213125</v>
      </c>
      <c r="N59" s="78">
        <f t="shared" si="82"/>
        <v>10448.468509359258</v>
      </c>
      <c r="O59" s="78">
        <f t="shared" si="82"/>
        <v>10721.140456169751</v>
      </c>
      <c r="P59" s="78">
        <f t="shared" ref="P59:Q59" si="84">SUM(P57:P58)</f>
        <v>10998.814524700912</v>
      </c>
      <c r="Q59" s="78">
        <f t="shared" si="84"/>
        <v>11281.597710456716</v>
      </c>
    </row>
    <row r="60" spans="2:17" ht="15" thickTop="1" x14ac:dyDescent="0.3">
      <c r="B60" s="1" t="s">
        <v>247</v>
      </c>
      <c r="E60" s="55">
        <f>-INDEX('p&amp;l'!$B$5:$CO$107,MATCH($B60,'p&amp;l'!$A$5:$A$107,0),MATCH(E$6,'p&amp;l'!$B$3:$CO$3,0))</f>
        <v>8129</v>
      </c>
      <c r="F60" s="55">
        <f>INDEX('p&amp;l'!$B$5:$CO$107,MATCH($B60,'p&amp;l'!$A$5:$A$107,0),MATCH(F$6,'p&amp;l'!$B$3:$CO$3,0))</f>
        <v>-2141</v>
      </c>
      <c r="G60" s="55">
        <f>INDEX('p&amp;l'!$B$5:$CO$107,MATCH($B60,'p&amp;l'!$A$5:$A$107,0),MATCH(G$6,'p&amp;l'!$B$3:$CO$3,0))</f>
        <v>-2063</v>
      </c>
      <c r="H60" s="55">
        <f>INDEX('p&amp;l'!$B$5:$CO$107,MATCH($B60,'p&amp;l'!$A$5:$A$107,0),MATCH(H$6,'p&amp;l'!$B$3:$CO$3,0))</f>
        <v>-2108</v>
      </c>
      <c r="I60" s="55">
        <f>INDEX('p&amp;l'!$B$5:$CO$107,MATCH($B60,'p&amp;l'!$A$5:$A$107,0),MATCH(I$6,'p&amp;l'!$B$3:$CO$3,0))</f>
        <v>-2189</v>
      </c>
      <c r="J60" s="55">
        <f>INDEX('p&amp;l'!$B$5:$CO$107,MATCH($B60,'p&amp;l'!$A$5:$A$107,0),MATCH(J$6,'p&amp;l'!$B$3:$CO$3,0))</f>
        <v>-2478</v>
      </c>
      <c r="K60" s="28">
        <f>-K59*summary!K31</f>
        <v>-2323.1953524164906</v>
      </c>
      <c r="L60" s="28">
        <f>-L59*summary!L31</f>
        <v>-2425.1805395456308</v>
      </c>
      <c r="M60" s="28">
        <f>-M59*summary!M31</f>
        <v>-2544.0165650532813</v>
      </c>
      <c r="N60" s="28">
        <f>-N59*summary!N31</f>
        <v>-2612.1171273398145</v>
      </c>
      <c r="O60" s="28">
        <f>-O59*summary!O31</f>
        <v>-2680.2851140424377</v>
      </c>
      <c r="P60" s="28">
        <f>-P59*summary!P31</f>
        <v>-2749.7036311752281</v>
      </c>
      <c r="Q60" s="28">
        <f>-Q59*summary!Q31</f>
        <v>-2820.3994276141789</v>
      </c>
    </row>
    <row r="61" spans="2:17" ht="15" thickBot="1" x14ac:dyDescent="0.35">
      <c r="B61" s="17" t="s">
        <v>40</v>
      </c>
      <c r="C61" s="17"/>
      <c r="D61" s="17"/>
      <c r="E61" s="77">
        <f t="shared" ref="E61:M61" si="85">SUM(E59:E60)</f>
        <v>37656</v>
      </c>
      <c r="F61" s="77">
        <f t="shared" si="85"/>
        <v>6210</v>
      </c>
      <c r="G61" s="77">
        <f t="shared" si="85"/>
        <v>5849</v>
      </c>
      <c r="H61" s="77">
        <f t="shared" ref="H61:J61" si="86">SUM(H59:H60)</f>
        <v>6564</v>
      </c>
      <c r="I61" s="77">
        <f t="shared" si="86"/>
        <v>6974</v>
      </c>
      <c r="J61" s="77">
        <f t="shared" si="86"/>
        <v>6846</v>
      </c>
      <c r="K61" s="78">
        <f t="shared" ref="K61:M63" si="87">SUM(K59:K60)</f>
        <v>6969.5860572494712</v>
      </c>
      <c r="L61" s="78">
        <f t="shared" si="85"/>
        <v>7275.541618636893</v>
      </c>
      <c r="M61" s="78">
        <f t="shared" si="85"/>
        <v>7632.0496951598434</v>
      </c>
      <c r="N61" s="78">
        <f t="shared" ref="N61:N63" si="88">SUM(N59:N60)</f>
        <v>7836.3513820194439</v>
      </c>
      <c r="O61" s="78">
        <f>SUM(O59:O60)</f>
        <v>8040.8553421273136</v>
      </c>
      <c r="P61" s="78">
        <f t="shared" ref="P61:Q61" si="89">SUM(P59:P60)</f>
        <v>8249.1108935256852</v>
      </c>
      <c r="Q61" s="78">
        <f t="shared" si="89"/>
        <v>8461.1982828425371</v>
      </c>
    </row>
    <row r="62" spans="2:17" ht="15" thickTop="1" x14ac:dyDescent="0.3">
      <c r="B62" s="1" t="s">
        <v>227</v>
      </c>
      <c r="E62" s="55">
        <f>-INDEX('p&amp;l'!$B$5:$CO$107,MATCH($B62,'p&amp;l'!$A$5:$A$107,0),MATCH(E$6,'p&amp;l'!$B$3:$CO$3,0))</f>
        <v>171</v>
      </c>
      <c r="F62" s="55">
        <f>INDEX('p&amp;l'!$B$5:$CO$107,MATCH($B62,'p&amp;l'!$A$5:$A$107,0),MATCH(F$6,'p&amp;l'!$B$3:$CO$3,0))</f>
        <v>-178</v>
      </c>
      <c r="G62" s="55">
        <f>INDEX('p&amp;l'!$B$5:$CO$107,MATCH($B62,'p&amp;l'!$A$5:$A$107,0),MATCH(G$6,'p&amp;l'!$B$3:$CO$3,0))</f>
        <v>-145</v>
      </c>
      <c r="H62" s="55">
        <f>INDEX('p&amp;l'!$B$5:$CO$107,MATCH($B62,'p&amp;l'!$A$5:$A$107,0),MATCH(H$6,'p&amp;l'!$B$3:$CO$3,0))</f>
        <v>-164</v>
      </c>
      <c r="I62" s="55">
        <f>INDEX('p&amp;l'!$B$5:$CO$107,MATCH($B62,'p&amp;l'!$A$5:$A$107,0),MATCH(I$6,'p&amp;l'!$B$3:$CO$3,0))</f>
        <v>-173</v>
      </c>
      <c r="J62" s="55">
        <f>INDEX('p&amp;l'!$B$5:$CO$107,MATCH($B62,'p&amp;l'!$A$5:$A$107,0),MATCH(J$6,'p&amp;l'!$B$3:$CO$3,0))</f>
        <v>-180</v>
      </c>
      <c r="K62" s="28">
        <f>J62/J61*K61</f>
        <v>-183.2494143010378</v>
      </c>
      <c r="L62" s="28">
        <f t="shared" ref="L62:Q62" si="90">K62/K61*L61</f>
        <v>-191.29381994663171</v>
      </c>
      <c r="M62" s="28">
        <f t="shared" si="90"/>
        <v>-200.66738900507914</v>
      </c>
      <c r="N62" s="28">
        <f t="shared" si="90"/>
        <v>-206.03903721348232</v>
      </c>
      <c r="O62" s="28">
        <f t="shared" si="90"/>
        <v>-211.41600373691449</v>
      </c>
      <c r="P62" s="28">
        <f t="shared" si="90"/>
        <v>-216.89160982100839</v>
      </c>
      <c r="Q62" s="28">
        <f t="shared" si="90"/>
        <v>-222.46796536834017</v>
      </c>
    </row>
    <row r="63" spans="2:17" ht="15" thickBot="1" x14ac:dyDescent="0.35">
      <c r="B63" s="17" t="s">
        <v>40</v>
      </c>
      <c r="C63" s="17"/>
      <c r="D63" s="17"/>
      <c r="E63" s="77">
        <f>SUM(E61:E62)</f>
        <v>37827</v>
      </c>
      <c r="F63" s="77">
        <f t="shared" ref="F63:G63" si="91">SUM(F61:F62)</f>
        <v>6032</v>
      </c>
      <c r="G63" s="77">
        <f t="shared" si="91"/>
        <v>5704</v>
      </c>
      <c r="H63" s="77">
        <f t="shared" ref="H63:J63" si="92">SUM(H61:H62)</f>
        <v>6400</v>
      </c>
      <c r="I63" s="77">
        <f t="shared" si="92"/>
        <v>6801</v>
      </c>
      <c r="J63" s="77">
        <f t="shared" si="92"/>
        <v>6666</v>
      </c>
      <c r="K63" s="78">
        <f>SUM(K61:K62)</f>
        <v>6786.3366429484331</v>
      </c>
      <c r="L63" s="78">
        <f t="shared" si="87"/>
        <v>7084.2477986902613</v>
      </c>
      <c r="M63" s="78">
        <f t="shared" si="87"/>
        <v>7431.3823061547646</v>
      </c>
      <c r="N63" s="78">
        <f t="shared" si="88"/>
        <v>7630.3123448059614</v>
      </c>
      <c r="O63" s="78">
        <f>SUM(O61:O62)</f>
        <v>7829.4393383903989</v>
      </c>
      <c r="P63" s="78">
        <f t="shared" ref="P63:Q63" si="93">SUM(P61:P62)</f>
        <v>8032.2192837046769</v>
      </c>
      <c r="Q63" s="78">
        <f t="shared" si="93"/>
        <v>8238.7303174741974</v>
      </c>
    </row>
    <row r="64" spans="2:17" ht="15" thickTop="1" x14ac:dyDescent="0.3">
      <c r="E64" s="55"/>
      <c r="F64" s="55"/>
      <c r="G64" s="55"/>
      <c r="H64" s="55"/>
      <c r="I64" s="55"/>
      <c r="J64" s="55"/>
      <c r="K64" s="28"/>
      <c r="L64" s="28"/>
      <c r="M64" s="28"/>
      <c r="N64" s="28"/>
      <c r="O64" s="28"/>
      <c r="P64" s="28"/>
      <c r="Q64" s="28"/>
    </row>
    <row r="65" spans="2:17" x14ac:dyDescent="0.3">
      <c r="B65" s="1" t="s">
        <v>265</v>
      </c>
      <c r="E65" s="55">
        <f>INDEX('p&amp;l'!$B$5:$CO$107,MATCH($B65,'p&amp;l'!$A$5:$A$107,0),MATCH(E$6,'p&amp;l'!$B$3:$CO$3,0))</f>
        <v>2044</v>
      </c>
      <c r="F65" s="55">
        <f>INDEX('p&amp;l'!$B$5:$CO$107,MATCH($B65,'p&amp;l'!$A$5:$A$107,0),MATCH(F$6,'p&amp;l'!$B$3:$CO$3,0))</f>
        <v>2285</v>
      </c>
      <c r="G65" s="55">
        <f>INDEX('p&amp;l'!$B$5:$CO$107,MATCH($B65,'p&amp;l'!$A$5:$A$107,0),MATCH(G$6,'p&amp;l'!$B$3:$CO$3,0))</f>
        <v>2284</v>
      </c>
      <c r="H65" s="55">
        <f>INDEX('p&amp;l'!$B$5:$CO$107,MATCH($B65,'p&amp;l'!$A$5:$A$107,0),MATCH(H$6,'p&amp;l'!$B$3:$CO$3,0))</f>
        <v>2286</v>
      </c>
      <c r="I65" s="55">
        <f>INDEX('p&amp;l'!$B$5:$CO$107,MATCH($B65,'p&amp;l'!$A$5:$A$107,0),MATCH(I$6,'p&amp;l'!$B$3:$CO$3,0))</f>
        <v>2287</v>
      </c>
      <c r="J65" s="55">
        <f>INDEX('p&amp;l'!$B$5:$CO$107,MATCH($B65,'p&amp;l'!$A$5:$A$107,0),MATCH(J$6,'p&amp;l'!$B$3:$CO$3,0))</f>
        <v>2256</v>
      </c>
      <c r="K65" s="28"/>
      <c r="L65" s="28"/>
      <c r="M65" s="28"/>
      <c r="N65" s="28"/>
      <c r="O65" s="28"/>
      <c r="P65" s="28"/>
      <c r="Q65" s="28"/>
    </row>
    <row r="66" spans="2:17" x14ac:dyDescent="0.3">
      <c r="B66" s="1" t="s">
        <v>291</v>
      </c>
      <c r="E66" s="55">
        <f t="shared" ref="E66:I66" si="94">E63/E65*100</f>
        <v>1850.6360078277887</v>
      </c>
      <c r="F66" s="55">
        <f t="shared" si="94"/>
        <v>263.98249452954047</v>
      </c>
      <c r="G66" s="55">
        <f t="shared" si="94"/>
        <v>249.7373029772329</v>
      </c>
      <c r="H66" s="55">
        <f t="shared" si="94"/>
        <v>279.9650043744532</v>
      </c>
      <c r="I66" s="55">
        <f t="shared" si="94"/>
        <v>297.37647573240054</v>
      </c>
      <c r="J66" s="55">
        <f>J63/J65*100</f>
        <v>295.47872340425533</v>
      </c>
      <c r="K66" s="28">
        <f>K61/$G$65*100</f>
        <v>305.1482511930592</v>
      </c>
      <c r="L66" s="28">
        <f>L61/$G$65*100</f>
        <v>318.5438537056433</v>
      </c>
      <c r="M66" s="28">
        <f>M61/$G$65*100</f>
        <v>334.15278875480925</v>
      </c>
      <c r="N66" s="28">
        <f>N61/$G$65*100</f>
        <v>343.09769623552728</v>
      </c>
      <c r="O66" s="28">
        <f>O61/$G$65*100</f>
        <v>352.05145981292969</v>
      </c>
      <c r="P66" s="28">
        <f t="shared" ref="P66:Q66" si="95">P61/$G$65*100</f>
        <v>361.16947870077428</v>
      </c>
      <c r="Q66" s="28">
        <f t="shared" si="95"/>
        <v>370.45526632410406</v>
      </c>
    </row>
    <row r="67" spans="2:17" x14ac:dyDescent="0.3">
      <c r="B67" s="1" t="s">
        <v>266</v>
      </c>
      <c r="E67" s="55">
        <f>INDEX('p&amp;l'!$B$5:$CO$107,MATCH($B67,'p&amp;l'!$A$5:$A$107,0),MATCH(E$6,'p&amp;l'!$B$3:$CO$3,0))</f>
        <v>2051</v>
      </c>
      <c r="F67" s="55">
        <f>INDEX('p&amp;l'!$B$5:$CO$107,MATCH($B67,'p&amp;l'!$A$5:$A$107,0),MATCH(F$6,'p&amp;l'!$B$3:$CO$3,0))</f>
        <v>2292</v>
      </c>
      <c r="G67" s="55">
        <f>INDEX('p&amp;l'!$B$5:$CO$107,MATCH($B67,'p&amp;l'!$A$5:$A$107,0),MATCH(G$6,'p&amp;l'!$B$3:$CO$3,0))</f>
        <v>2291</v>
      </c>
      <c r="H67" s="55">
        <f>INDEX('p&amp;l'!$B$5:$CO$107,MATCH($B67,'p&amp;l'!$A$5:$A$107,0),MATCH(H$6,'p&amp;l'!$B$3:$CO$3,0))</f>
        <v>2295</v>
      </c>
      <c r="I67" s="55">
        <f>INDEX('p&amp;l'!$B$5:$CO$107,MATCH($B67,'p&amp;l'!$A$5:$A$107,0),MATCH(I$6,'p&amp;l'!$B$3:$CO$3,0))</f>
        <v>2297</v>
      </c>
      <c r="J67" s="55">
        <f>INDEX('p&amp;l'!$B$5:$CO$107,MATCH($B67,'p&amp;l'!$A$5:$A$107,0),MATCH(J$6,'p&amp;l'!$B$3:$CO$3,0))</f>
        <v>2267</v>
      </c>
      <c r="K67" s="81"/>
      <c r="L67" s="81"/>
      <c r="M67" s="81"/>
      <c r="N67" s="81"/>
      <c r="O67" s="81"/>
      <c r="P67" s="81"/>
      <c r="Q67" s="81"/>
    </row>
    <row r="68" spans="2:17" x14ac:dyDescent="0.3">
      <c r="B68" s="1" t="s">
        <v>292</v>
      </c>
      <c r="E68" s="55">
        <f t="shared" ref="E68:I68" si="96">E63/E67*100</f>
        <v>1844.3198439785469</v>
      </c>
      <c r="F68" s="55">
        <f t="shared" si="96"/>
        <v>263.17626527050612</v>
      </c>
      <c r="G68" s="55">
        <f t="shared" si="96"/>
        <v>248.97424705368834</v>
      </c>
      <c r="H68" s="55">
        <f t="shared" si="96"/>
        <v>278.86710239651416</v>
      </c>
      <c r="I68" s="55">
        <f t="shared" si="96"/>
        <v>296.08184588593815</v>
      </c>
      <c r="J68" s="55">
        <f>J63/J67*100</f>
        <v>294.04499338332596</v>
      </c>
      <c r="K68" s="28">
        <f>K61/$G$67*100</f>
        <v>304.21589075728815</v>
      </c>
      <c r="L68" s="28">
        <f>L61/$G$67*100</f>
        <v>317.57056388637682</v>
      </c>
      <c r="M68" s="28">
        <f>M61/$G$67*100</f>
        <v>333.1318068598797</v>
      </c>
      <c r="N68" s="28">
        <f>N61/$G$67*100</f>
        <v>342.04938376339783</v>
      </c>
      <c r="O68" s="28">
        <f>O61/$G$67*100</f>
        <v>350.9757897043786</v>
      </c>
      <c r="P68" s="28">
        <f t="shared" ref="P68:Q68" si="97">P61/$G$67*100</f>
        <v>360.06594908449085</v>
      </c>
      <c r="Q68" s="28">
        <f t="shared" si="97"/>
        <v>369.32336459373801</v>
      </c>
    </row>
    <row r="69" spans="2:17" x14ac:dyDescent="0.3">
      <c r="E69" s="80"/>
      <c r="F69" s="80"/>
      <c r="G69" s="80"/>
      <c r="H69" s="80"/>
      <c r="I69" s="80"/>
      <c r="J69" s="80"/>
      <c r="K69" s="81"/>
      <c r="L69" s="81"/>
      <c r="M69" s="81"/>
      <c r="N69" s="81"/>
      <c r="O69" s="81"/>
      <c r="P69" s="81"/>
      <c r="Q69" s="81"/>
    </row>
    <row r="70" spans="2:17" x14ac:dyDescent="0.3">
      <c r="B70" s="21" t="s">
        <v>41</v>
      </c>
      <c r="D70" s="68" t="s">
        <v>136</v>
      </c>
      <c r="E70" s="84">
        <f>INDEX('p&amp;l'!$B$5:$CO$107,MATCH($D70,'p&amp;l'!$A$5:$A$107,0),MATCH(E$6,'p&amp;l'!$B$3:$CO$3,0))</f>
        <v>37656</v>
      </c>
      <c r="F70" s="84">
        <f>INDEX('p&amp;l'!$B$5:$CO$107,MATCH($D70,'p&amp;l'!$A$5:$A$107,0),MATCH(F$6,'p&amp;l'!$B$3:$CO$3,0))</f>
        <v>6210</v>
      </c>
      <c r="G70" s="84">
        <f>INDEX('p&amp;l'!$B$5:$CO$107,MATCH($D70,'p&amp;l'!$A$5:$A$107,0),MATCH(G$6,'p&amp;l'!$B$3:$CO$3,0))</f>
        <v>5849</v>
      </c>
      <c r="H70" s="84">
        <f>INDEX('p&amp;l'!$B$5:$CO$107,MATCH($D70,'p&amp;l'!$A$5:$A$107,0),MATCH(H$6,'p&amp;l'!$B$3:$CO$3,0))</f>
        <v>6564</v>
      </c>
      <c r="I70" s="84">
        <f>INDEX('p&amp;l'!$B$5:$CO$107,MATCH($D70,'p&amp;l'!$A$5:$A$107,0),MATCH(I$6,'p&amp;l'!$B$3:$CO$3,0))</f>
        <v>6974</v>
      </c>
      <c r="J70" s="84">
        <f>INDEX('p&amp;l'!$B$5:$CO$107,MATCH($D70,'p&amp;l'!$A$5:$A$107,0),MATCH(J$6,'p&amp;l'!$B$3:$CO$3,0))</f>
        <v>6846</v>
      </c>
      <c r="K70" s="84"/>
      <c r="L70" s="84"/>
      <c r="M70" s="84"/>
      <c r="N70" s="84"/>
      <c r="O70" s="84"/>
      <c r="P70" s="84"/>
      <c r="Q70" s="84"/>
    </row>
    <row r="71" spans="2:17" x14ac:dyDescent="0.3">
      <c r="B71" s="21" t="s">
        <v>23</v>
      </c>
      <c r="E71" s="56">
        <f t="shared" ref="E71:G71" si="98">ROUND(E70-E61,0)</f>
        <v>0</v>
      </c>
      <c r="F71" s="56">
        <f t="shared" si="98"/>
        <v>0</v>
      </c>
      <c r="G71" s="56">
        <f t="shared" si="98"/>
        <v>0</v>
      </c>
      <c r="H71" s="56">
        <f t="shared" ref="H71:J71" si="99">ROUND(H70-H61,0)</f>
        <v>0</v>
      </c>
      <c r="I71" s="56">
        <f>ROUND(I70-I61,0)</f>
        <v>0</v>
      </c>
      <c r="J71" s="56">
        <f t="shared" si="99"/>
        <v>0</v>
      </c>
      <c r="K71" s="30"/>
      <c r="L71" s="30"/>
      <c r="M71" s="30"/>
      <c r="N71" s="30"/>
      <c r="O71" s="30"/>
      <c r="P71" s="30"/>
      <c r="Q71" s="30"/>
    </row>
    <row r="72" spans="2:17" x14ac:dyDescent="0.3">
      <c r="E72" s="80"/>
      <c r="F72" s="80"/>
      <c r="G72" s="80"/>
      <c r="H72" s="80"/>
      <c r="I72" s="80"/>
      <c r="J72" s="80"/>
      <c r="K72" s="81"/>
      <c r="L72" s="81"/>
      <c r="M72" s="81"/>
      <c r="N72" s="81"/>
      <c r="O72" s="81"/>
      <c r="P72" s="81"/>
      <c r="Q72" s="81"/>
    </row>
    <row r="73" spans="2:17" x14ac:dyDescent="0.3">
      <c r="B73" s="2" t="s">
        <v>44</v>
      </c>
      <c r="C73" s="3"/>
      <c r="D73" s="5"/>
      <c r="E73" s="79"/>
      <c r="F73" s="79"/>
      <c r="G73" s="79"/>
      <c r="H73" s="79"/>
      <c r="I73" s="79"/>
      <c r="J73" s="79"/>
      <c r="K73" s="82"/>
      <c r="L73" s="82"/>
      <c r="M73" s="83"/>
      <c r="N73" s="83"/>
      <c r="O73" s="83"/>
      <c r="P73" s="83"/>
      <c r="Q73" s="83"/>
    </row>
    <row r="74" spans="2:17" x14ac:dyDescent="0.3">
      <c r="D74" s="24"/>
      <c r="E74" s="80"/>
      <c r="F74" s="80"/>
      <c r="G74" s="80"/>
      <c r="H74" s="80"/>
      <c r="I74" s="80"/>
      <c r="J74" s="80"/>
      <c r="K74" s="81"/>
      <c r="L74" s="81"/>
      <c r="M74" s="81"/>
      <c r="N74" s="81"/>
      <c r="O74" s="81"/>
      <c r="P74" s="81"/>
      <c r="Q74" s="81"/>
    </row>
    <row r="75" spans="2:17" x14ac:dyDescent="0.3">
      <c r="B75" s="1" t="s">
        <v>46</v>
      </c>
      <c r="E75" s="55">
        <f t="shared" ref="E75:G75" si="100">E57</f>
        <v>30651</v>
      </c>
      <c r="F75" s="55">
        <f t="shared" si="100"/>
        <v>9985</v>
      </c>
      <c r="G75" s="55">
        <f t="shared" si="100"/>
        <v>9700</v>
      </c>
      <c r="H75" s="55">
        <f t="shared" ref="H75:J75" si="101">H57</f>
        <v>10456</v>
      </c>
      <c r="I75" s="55">
        <f t="shared" si="101"/>
        <v>10654</v>
      </c>
      <c r="J75" s="55">
        <f t="shared" si="101"/>
        <v>10987</v>
      </c>
      <c r="K75" s="28">
        <f>K57</f>
        <v>11455.181409665962</v>
      </c>
      <c r="L75" s="28">
        <f t="shared" ref="L75:Q75" si="102">L57</f>
        <v>11863.122158182523</v>
      </c>
      <c r="M75" s="28">
        <f t="shared" si="102"/>
        <v>12338.466260213125</v>
      </c>
      <c r="N75" s="28">
        <f t="shared" si="102"/>
        <v>12610.868509359258</v>
      </c>
      <c r="O75" s="28">
        <f t="shared" si="102"/>
        <v>12883.540456169751</v>
      </c>
      <c r="P75" s="28">
        <f t="shared" si="102"/>
        <v>13161.214524700912</v>
      </c>
      <c r="Q75" s="28">
        <f t="shared" si="102"/>
        <v>13443.997710456715</v>
      </c>
    </row>
    <row r="76" spans="2:17" x14ac:dyDescent="0.3">
      <c r="B76" s="1" t="s">
        <v>150</v>
      </c>
      <c r="E76" s="55">
        <f>INDEX(cf!$B$5:$CO$107,MATCH($B76,cf!$A$5:$A$107,0),MATCH(E$6,cf!$B$3:$CO$3,0))</f>
        <v>-1281</v>
      </c>
      <c r="F76" s="55">
        <f>INDEX(cf!$B$5:$CO$107,MATCH($B76,cf!$A$5:$A$107,0),MATCH(F$6,cf!$B$3:$CO$3,0))</f>
        <v>1590</v>
      </c>
      <c r="G76" s="55">
        <f>INDEX(cf!$B$5:$CO$107,MATCH($B76,cf!$A$5:$A$107,0),MATCH(G$6,cf!$B$3:$CO$3,0))</f>
        <v>314</v>
      </c>
      <c r="H76" s="55">
        <f>INDEX(cf!$B$5:$CO$107,MATCH($B76,cf!$A$5:$A$107,0),MATCH(H$6,cf!$B$3:$CO$3,0))</f>
        <v>109</v>
      </c>
      <c r="I76" s="55">
        <f>INDEX(cf!$B$5:$CO$107,MATCH($B76,cf!$A$5:$A$107,0),MATCH(I$6,cf!$B$3:$CO$3,0))</f>
        <v>-62</v>
      </c>
      <c r="J76" s="55">
        <f>INDEX(cf!$B$5:$CO$107,MATCH($B76,cf!$A$5:$A$107,0),MATCH(J$6,cf!$B$3:$CO$3,0))</f>
        <v>103</v>
      </c>
      <c r="K76" s="28">
        <f>J13-K13+K25-J25+J14-K14+J16-K16</f>
        <v>-405.35649718793047</v>
      </c>
      <c r="L76" s="28">
        <f t="shared" ref="L76:Q76" si="103">K13-L13+L25-K25+K14-L14+K16-L16</f>
        <v>-213.8139989266665</v>
      </c>
      <c r="M76" s="28">
        <f t="shared" si="103"/>
        <v>240.67971081417636</v>
      </c>
      <c r="N76" s="28">
        <f t="shared" si="103"/>
        <v>8.2101842939919152</v>
      </c>
      <c r="O76" s="28">
        <f t="shared" si="103"/>
        <v>8.3743879798739727</v>
      </c>
      <c r="P76" s="28">
        <f t="shared" si="103"/>
        <v>8.5418757394700151</v>
      </c>
      <c r="Q76" s="28">
        <f t="shared" si="103"/>
        <v>8.7127132542564141</v>
      </c>
    </row>
    <row r="77" spans="2:17" x14ac:dyDescent="0.3">
      <c r="B77" s="1" t="s">
        <v>47</v>
      </c>
      <c r="E77" s="55">
        <f t="shared" ref="E77:G77" si="104">-E56</f>
        <v>902</v>
      </c>
      <c r="F77" s="55">
        <f t="shared" si="104"/>
        <v>1038</v>
      </c>
      <c r="G77" s="55">
        <f t="shared" si="104"/>
        <v>1512</v>
      </c>
      <c r="H77" s="55">
        <f t="shared" ref="H77:J77" si="105">-H56</f>
        <v>1241</v>
      </c>
      <c r="I77" s="55">
        <f t="shared" si="105"/>
        <v>1019</v>
      </c>
      <c r="J77" s="55">
        <f t="shared" si="105"/>
        <v>1305</v>
      </c>
      <c r="K77" s="28">
        <f>-K56</f>
        <v>1324.7148984157589</v>
      </c>
      <c r="L77" s="28">
        <f t="shared" ref="L77:Q77" si="106">-L56</f>
        <v>1314.62054657249</v>
      </c>
      <c r="M77" s="28">
        <f t="shared" si="106"/>
        <v>1305.4258280168506</v>
      </c>
      <c r="N77" s="28">
        <f t="shared" si="106"/>
        <v>1297.0614206353159</v>
      </c>
      <c r="O77" s="28">
        <f t="shared" si="106"/>
        <v>1293.7080724247148</v>
      </c>
      <c r="P77" s="28">
        <f t="shared" si="106"/>
        <v>1290.7389744654445</v>
      </c>
      <c r="Q77" s="28">
        <f t="shared" si="106"/>
        <v>1288.15485869297</v>
      </c>
    </row>
    <row r="78" spans="2:17" x14ac:dyDescent="0.3">
      <c r="B78" s="1" t="s">
        <v>48</v>
      </c>
      <c r="E78" s="55">
        <f t="shared" ref="E78:G78" si="107">E60</f>
        <v>8129</v>
      </c>
      <c r="F78" s="55">
        <f t="shared" si="107"/>
        <v>-2141</v>
      </c>
      <c r="G78" s="55">
        <f t="shared" si="107"/>
        <v>-2063</v>
      </c>
      <c r="H78" s="55">
        <f t="shared" ref="H78:K78" si="108">H60</f>
        <v>-2108</v>
      </c>
      <c r="I78" s="55">
        <f t="shared" si="108"/>
        <v>-2189</v>
      </c>
      <c r="J78" s="55">
        <f t="shared" si="108"/>
        <v>-2478</v>
      </c>
      <c r="K78" s="28">
        <f t="shared" si="108"/>
        <v>-2323.1953524164906</v>
      </c>
      <c r="L78" s="28">
        <f t="shared" ref="L78:Q78" si="109">L60</f>
        <v>-2425.1805395456308</v>
      </c>
      <c r="M78" s="28">
        <f t="shared" si="109"/>
        <v>-2544.0165650532813</v>
      </c>
      <c r="N78" s="28">
        <f t="shared" si="109"/>
        <v>-2612.1171273398145</v>
      </c>
      <c r="O78" s="28">
        <f t="shared" si="109"/>
        <v>-2680.2851140424377</v>
      </c>
      <c r="P78" s="28">
        <f t="shared" si="109"/>
        <v>-2749.7036311752281</v>
      </c>
      <c r="Q78" s="28">
        <f t="shared" si="109"/>
        <v>-2820.3994276141789</v>
      </c>
    </row>
    <row r="79" spans="2:17" x14ac:dyDescent="0.3">
      <c r="B79" s="1" t="s">
        <v>45</v>
      </c>
      <c r="E79" s="55">
        <f t="shared" ref="E79:G79" si="110">E80-SUM(E75:E78)</f>
        <v>-33054</v>
      </c>
      <c r="F79" s="55">
        <f t="shared" si="110"/>
        <v>-177</v>
      </c>
      <c r="G79" s="55">
        <f t="shared" si="110"/>
        <v>-467</v>
      </c>
      <c r="H79" s="55">
        <f t="shared" ref="H79:I79" si="111">H80-SUM(H75:H78)</f>
        <v>88</v>
      </c>
      <c r="I79" s="55">
        <f t="shared" si="111"/>
        <v>295</v>
      </c>
      <c r="J79" s="55">
        <f>J80-SUM(J75:J78)</f>
        <v>477</v>
      </c>
      <c r="K79" s="28"/>
      <c r="L79" s="28"/>
      <c r="M79" s="28"/>
      <c r="N79" s="28"/>
      <c r="O79" s="28"/>
      <c r="P79" s="28"/>
      <c r="Q79" s="28"/>
    </row>
    <row r="80" spans="2:17" ht="15" thickBot="1" x14ac:dyDescent="0.35">
      <c r="B80" s="17" t="s">
        <v>153</v>
      </c>
      <c r="C80" s="17"/>
      <c r="D80" s="17"/>
      <c r="E80" s="77">
        <f>INDEX(cf!$B$5:$CO$107,MATCH($B80,cf!$A$5:$A$107,0),MATCH(E$6,cf!$B$3:$CO$3,0))</f>
        <v>5347</v>
      </c>
      <c r="F80" s="77">
        <f>INDEX(cf!$B$5:$CO$107,MATCH($B80,cf!$A$5:$A$107,0),MATCH(F$6,cf!$B$3:$CO$3,0))</f>
        <v>10295</v>
      </c>
      <c r="G80" s="77">
        <f>INDEX(cf!$B$5:$CO$107,MATCH($B80,cf!$A$5:$A$107,0),MATCH(G$6,cf!$B$3:$CO$3,0))</f>
        <v>8996</v>
      </c>
      <c r="H80" s="77">
        <f>INDEX(cf!$B$5:$CO$107,MATCH($B80,cf!$A$5:$A$107,0),MATCH(H$6,cf!$B$3:$CO$3,0))</f>
        <v>9786</v>
      </c>
      <c r="I80" s="77">
        <f>INDEX(cf!$B$5:$CO$107,MATCH($B80,cf!$A$5:$A$107,0),MATCH(I$6,cf!$B$3:$CO$3,0))</f>
        <v>9717</v>
      </c>
      <c r="J80" s="77">
        <f>INDEX(cf!$B$5:$CO$107,MATCH($B80,cf!$A$5:$A$107,0),MATCH(J$6,cf!$B$3:$CO$3,0))</f>
        <v>10394</v>
      </c>
      <c r="K80" s="78">
        <f>SUM(K75:K79)</f>
        <v>10051.344458477299</v>
      </c>
      <c r="L80" s="78">
        <f t="shared" ref="L80:O80" si="112">SUM(L75:L79)</f>
        <v>10538.748166282716</v>
      </c>
      <c r="M80" s="78">
        <f t="shared" si="112"/>
        <v>11340.55523399087</v>
      </c>
      <c r="N80" s="78">
        <f t="shared" si="112"/>
        <v>11304.022986948752</v>
      </c>
      <c r="O80" s="78">
        <f t="shared" si="112"/>
        <v>11505.337802531903</v>
      </c>
      <c r="P80" s="78">
        <f t="shared" ref="P80:Q80" si="113">SUM(P75:P79)</f>
        <v>11710.791743730599</v>
      </c>
      <c r="Q80" s="78">
        <f t="shared" si="113"/>
        <v>11920.465854789762</v>
      </c>
    </row>
    <row r="81" spans="2:17" ht="15" thickTop="1" x14ac:dyDescent="0.3">
      <c r="B81" s="1" t="s">
        <v>154</v>
      </c>
      <c r="E81" s="55">
        <f>INDEX(cf!$B$5:$CO$107,MATCH($B81,cf!$A$5:$A$107,0),MATCH(E$6,cf!$B$3:$CO$3,0))</f>
        <v>-978</v>
      </c>
      <c r="F81" s="55">
        <f>INDEX(cf!$B$5:$CO$107,MATCH($B81,cf!$A$5:$A$107,0),MATCH(F$6,cf!$B$3:$CO$3,0))</f>
        <v>-943</v>
      </c>
      <c r="G81" s="55">
        <f>INDEX(cf!$B$5:$CO$107,MATCH($B81,cf!$A$5:$A$107,0),MATCH(G$6,cf!$B$3:$CO$3,0))</f>
        <v>-815</v>
      </c>
      <c r="H81" s="55">
        <f>INDEX(cf!$B$5:$CO$107,MATCH($B81,cf!$A$5:$A$107,0),MATCH(H$6,cf!$B$3:$CO$3,0))</f>
        <v>-755</v>
      </c>
      <c r="I81" s="55">
        <f>INDEX(cf!$B$5:$CO$107,MATCH($B81,cf!$A$5:$A$107,0),MATCH(I$6,cf!$B$3:$CO$3,0))</f>
        <v>-745</v>
      </c>
      <c r="J81" s="55">
        <f>INDEX(cf!$B$5:$CO$107,MATCH($B81,cf!$A$5:$A$107,0),MATCH(J$6,cf!$B$3:$CO$3,0))</f>
        <v>-656</v>
      </c>
      <c r="K81" s="28">
        <f>-summary!K38</f>
        <v>-669.5</v>
      </c>
      <c r="L81" s="28">
        <f>-summary!L38</f>
        <v>-717.8</v>
      </c>
      <c r="M81" s="28">
        <f>-summary!M38</f>
        <v>-762.5</v>
      </c>
      <c r="N81" s="28">
        <f>-summary!N38</f>
        <v>-1079.3987374560313</v>
      </c>
      <c r="O81" s="28">
        <f>-summary!O38</f>
        <v>-1100.9867122051519</v>
      </c>
      <c r="P81" s="28">
        <f>-summary!P38</f>
        <v>-1123.006446449255</v>
      </c>
      <c r="Q81" s="28">
        <f>-summary!Q38</f>
        <v>-1145.4665753782401</v>
      </c>
    </row>
    <row r="82" spans="2:17" x14ac:dyDescent="0.3">
      <c r="B82" s="1" t="s">
        <v>155</v>
      </c>
      <c r="E82" s="55">
        <f>INDEX(cf!$B$5:$CO$107,MATCH($B82,cf!$A$5:$A$107,0),MATCH(E$6,cf!$B$3:$CO$3,0))</f>
        <v>95</v>
      </c>
      <c r="F82" s="55">
        <f>INDEX(cf!$B$5:$CO$107,MATCH($B82,cf!$A$5:$A$107,0),MATCH(F$6,cf!$B$3:$CO$3,0))</f>
        <v>38</v>
      </c>
      <c r="G82" s="55">
        <f>INDEX(cf!$B$5:$CO$107,MATCH($B82,cf!$A$5:$A$107,0),MATCH(G$6,cf!$B$3:$CO$3,0))</f>
        <v>34</v>
      </c>
      <c r="H82" s="55">
        <f>INDEX(cf!$B$5:$CO$107,MATCH($B82,cf!$A$5:$A$107,0),MATCH(H$6,cf!$B$3:$CO$3,0))</f>
        <v>44</v>
      </c>
      <c r="I82" s="55">
        <f>INDEX(cf!$B$5:$CO$107,MATCH($B82,cf!$A$5:$A$107,0),MATCH(I$6,cf!$B$3:$CO$3,0))</f>
        <v>31</v>
      </c>
      <c r="J82" s="55">
        <f>INDEX(cf!$B$5:$CO$107,MATCH($B82,cf!$A$5:$A$107,0),MATCH(J$6,cf!$B$3:$CO$3,0))</f>
        <v>34</v>
      </c>
      <c r="K82" s="28"/>
      <c r="L82" s="28"/>
      <c r="M82" s="28"/>
      <c r="N82" s="28"/>
      <c r="O82" s="28"/>
      <c r="P82" s="28"/>
      <c r="Q82" s="28"/>
    </row>
    <row r="83" spans="2:17" x14ac:dyDescent="0.3">
      <c r="B83" s="1" t="s">
        <v>49</v>
      </c>
      <c r="E83" s="55">
        <f>INDEX(cf!$B$5:$CO$107,MATCH($B83,cf!$A$5:$A$107,0),MATCH(E$6,cf!$B$3:$CO$3,0))</f>
        <v>-17734</v>
      </c>
      <c r="F83" s="55">
        <f>INDEX(cf!$B$5:$CO$107,MATCH($B83,cf!$A$5:$A$107,0),MATCH(F$6,cf!$B$3:$CO$3,0))</f>
        <v>-32</v>
      </c>
      <c r="G83" s="55">
        <f>INDEX(cf!$B$5:$CO$107,MATCH($B83,cf!$A$5:$A$107,0),MATCH(G$6,cf!$B$3:$CO$3,0))</f>
        <v>-86</v>
      </c>
      <c r="H83" s="55">
        <f>INDEX(cf!$B$5:$CO$107,MATCH($B83,cf!$A$5:$A$107,0),MATCH(H$6,cf!$B$3:$CO$3,0))</f>
        <v>0</v>
      </c>
      <c r="I83" s="55">
        <f>INDEX(cf!$B$5:$CO$107,MATCH($B83,cf!$A$5:$A$107,0),MATCH(I$6,cf!$B$3:$CO$3,0))</f>
        <v>-231</v>
      </c>
      <c r="J83" s="55">
        <f>INDEX(cf!$B$5:$CO$107,MATCH($B83,cf!$A$5:$A$107,0),MATCH(J$6,cf!$B$3:$CO$3,0))</f>
        <v>-39</v>
      </c>
      <c r="K83" s="28"/>
      <c r="L83" s="28"/>
      <c r="M83" s="28"/>
      <c r="N83" s="28"/>
      <c r="O83" s="28"/>
      <c r="P83" s="28"/>
      <c r="Q83" s="28"/>
    </row>
    <row r="84" spans="2:17" x14ac:dyDescent="0.3">
      <c r="B84" s="1" t="s">
        <v>159</v>
      </c>
      <c r="E84" s="55">
        <f>INDEX(cf!$B$5:$CO$107,MATCH($B84,cf!$A$5:$A$107,0),MATCH(E$6,cf!$B$3:$CO$3,0))</f>
        <v>-170</v>
      </c>
      <c r="F84" s="55">
        <f>INDEX(cf!$B$5:$CO$107,MATCH($B84,cf!$A$5:$A$107,0),MATCH(F$6,cf!$B$3:$CO$3,0))</f>
        <v>-320</v>
      </c>
      <c r="G84" s="55">
        <f>INDEX(cf!$B$5:$CO$107,MATCH($B84,cf!$A$5:$A$107,0),MATCH(G$6,cf!$B$3:$CO$3,0))</f>
        <v>-191</v>
      </c>
      <c r="H84" s="55">
        <f>INDEX(cf!$B$5:$CO$107,MATCH($B84,cf!$A$5:$A$107,0),MATCH(H$6,cf!$B$3:$CO$3,0))</f>
        <v>-343</v>
      </c>
      <c r="I84" s="55">
        <f>INDEX(cf!$B$5:$CO$107,MATCH($B84,cf!$A$5:$A$107,0),MATCH(I$6,cf!$B$3:$CO$3,0))</f>
        <v>-369</v>
      </c>
      <c r="J84" s="55">
        <f>INDEX(cf!$B$5:$CO$107,MATCH($B84,cf!$A$5:$A$107,0),MATCH(J$6,cf!$B$3:$CO$3,0))</f>
        <v>-257</v>
      </c>
      <c r="K84" s="28"/>
      <c r="L84" s="28"/>
      <c r="M84" s="28"/>
      <c r="N84" s="28"/>
      <c r="O84" s="28"/>
      <c r="P84" s="28"/>
      <c r="Q84" s="28"/>
    </row>
    <row r="85" spans="2:17" x14ac:dyDescent="0.3">
      <c r="B85" s="1" t="s">
        <v>160</v>
      </c>
      <c r="E85" s="55">
        <f>INDEX(cf!$B$5:$CO$107,MATCH($B85,cf!$A$5:$A$107,0),MATCH(E$6,cf!$B$3:$CO$3,0))</f>
        <v>160</v>
      </c>
      <c r="F85" s="55">
        <f>INDEX(cf!$B$5:$CO$107,MATCH($B85,cf!$A$5:$A$107,0),MATCH(F$6,cf!$B$3:$CO$3,0))</f>
        <v>167</v>
      </c>
      <c r="G85" s="55">
        <f>INDEX(cf!$B$5:$CO$107,MATCH($B85,cf!$A$5:$A$107,0),MATCH(G$6,cf!$B$3:$CO$3,0))</f>
        <v>339</v>
      </c>
      <c r="H85" s="55">
        <f>INDEX(cf!$B$5:$CO$107,MATCH($B85,cf!$A$5:$A$107,0),MATCH(H$6,cf!$B$3:$CO$3,0))</f>
        <v>184</v>
      </c>
      <c r="I85" s="55">
        <f>INDEX(cf!$B$5:$CO$107,MATCH($B85,cf!$A$5:$A$107,0),MATCH(I$6,cf!$B$3:$CO$3,0))</f>
        <v>141</v>
      </c>
      <c r="J85" s="55">
        <f>INDEX(cf!$B$5:$CO$107,MATCH($B85,cf!$A$5:$A$107,0),MATCH(J$6,cf!$B$3:$CO$3,0))</f>
        <v>128</v>
      </c>
      <c r="K85" s="28"/>
      <c r="L85" s="28"/>
      <c r="M85" s="28"/>
      <c r="N85" s="28"/>
      <c r="O85" s="28"/>
      <c r="P85" s="28"/>
      <c r="Q85" s="28"/>
    </row>
    <row r="86" spans="2:17" x14ac:dyDescent="0.3">
      <c r="B86" s="1" t="s">
        <v>45</v>
      </c>
      <c r="E86" s="55">
        <f t="shared" ref="E86:G86" si="114">E87-SUM(E81:E85)</f>
        <v>83</v>
      </c>
      <c r="F86" s="55">
        <f t="shared" si="114"/>
        <v>69</v>
      </c>
      <c r="G86" s="55">
        <f t="shared" si="114"/>
        <v>80</v>
      </c>
      <c r="H86" s="55">
        <f t="shared" ref="H86:J86" si="115">H87-SUM(H81:H85)</f>
        <v>87</v>
      </c>
      <c r="I86" s="55">
        <f t="shared" si="115"/>
        <v>33</v>
      </c>
      <c r="J86" s="55">
        <f t="shared" si="115"/>
        <v>85</v>
      </c>
      <c r="K86" s="28"/>
      <c r="L86" s="28"/>
      <c r="M86" s="28"/>
      <c r="N86" s="28"/>
      <c r="O86" s="28"/>
      <c r="P86" s="28"/>
      <c r="Q86" s="28"/>
    </row>
    <row r="87" spans="2:17" ht="15" thickBot="1" x14ac:dyDescent="0.35">
      <c r="B87" s="17" t="s">
        <v>162</v>
      </c>
      <c r="C87" s="17"/>
      <c r="D87" s="17"/>
      <c r="E87" s="77">
        <f>INDEX(cf!$B$5:$CO$107,MATCH($B87,cf!$A$5:$A$107,0),MATCH(E$6,cf!$B$3:$CO$3,0))</f>
        <v>-18544</v>
      </c>
      <c r="F87" s="77">
        <f>INDEX(cf!$B$5:$CO$107,MATCH($B87,cf!$A$5:$A$107,0),MATCH(F$6,cf!$B$3:$CO$3,0))</f>
        <v>-1021</v>
      </c>
      <c r="G87" s="77">
        <f>INDEX(cf!$B$5:$CO$107,MATCH($B87,cf!$A$5:$A$107,0),MATCH(G$6,cf!$B$3:$CO$3,0))</f>
        <v>-639</v>
      </c>
      <c r="H87" s="77">
        <f>INDEX(cf!$B$5:$CO$107,MATCH($B87,cf!$A$5:$A$107,0),MATCH(H$6,cf!$B$3:$CO$3,0))</f>
        <v>-783</v>
      </c>
      <c r="I87" s="77">
        <f>INDEX(cf!$B$5:$CO$107,MATCH($B87,cf!$A$5:$A$107,0),MATCH(I$6,cf!$B$3:$CO$3,0))</f>
        <v>-1140</v>
      </c>
      <c r="J87" s="77">
        <f>INDEX(cf!$B$5:$CO$107,MATCH($B87,cf!$A$5:$A$107,0),MATCH(J$6,cf!$B$3:$CO$3,0))</f>
        <v>-705</v>
      </c>
      <c r="K87" s="78">
        <f t="shared" ref="K87" si="116">SUM(K81:K86)</f>
        <v>-669.5</v>
      </c>
      <c r="L87" s="78">
        <f t="shared" ref="L87:M87" si="117">SUM(L81:L86)</f>
        <v>-717.8</v>
      </c>
      <c r="M87" s="78">
        <f t="shared" si="117"/>
        <v>-762.5</v>
      </c>
      <c r="N87" s="78">
        <f t="shared" ref="N87:O87" si="118">SUM(N81:N86)</f>
        <v>-1079.3987374560313</v>
      </c>
      <c r="O87" s="78">
        <f t="shared" si="118"/>
        <v>-1100.9867122051519</v>
      </c>
      <c r="P87" s="78">
        <f t="shared" ref="P87:Q87" si="119">SUM(P81:P86)</f>
        <v>-1123.006446449255</v>
      </c>
      <c r="Q87" s="78">
        <f t="shared" si="119"/>
        <v>-1145.4665753782401</v>
      </c>
    </row>
    <row r="88" spans="2:17" ht="15" thickTop="1" x14ac:dyDescent="0.3">
      <c r="B88" s="1" t="s">
        <v>163</v>
      </c>
      <c r="E88" s="55">
        <f>INDEX(cf!$B$5:$CO$107,MATCH($B88,cf!$A$5:$A$107,0),MATCH(E$6,cf!$B$3:$CO$3,0))</f>
        <v>0</v>
      </c>
      <c r="F88" s="55">
        <f>INDEX(cf!$B$5:$CO$107,MATCH($B88,cf!$A$5:$A$107,0),MATCH(F$6,cf!$B$3:$CO$3,0))</f>
        <v>0</v>
      </c>
      <c r="G88" s="55">
        <f>INDEX(cf!$B$5:$CO$107,MATCH($B88,cf!$A$5:$A$107,0),MATCH(G$6,cf!$B$3:$CO$3,0))</f>
        <v>0</v>
      </c>
      <c r="H88" s="55">
        <f>INDEX(cf!$B$5:$CO$107,MATCH($B88,cf!$A$5:$A$107,0),MATCH(H$6,cf!$B$3:$CO$3,0))</f>
        <v>0</v>
      </c>
      <c r="I88" s="55">
        <f>INDEX(cf!$B$5:$CO$107,MATCH($B88,cf!$A$5:$A$107,0),MATCH(I$6,cf!$B$3:$CO$3,0))</f>
        <v>0</v>
      </c>
      <c r="J88" s="55">
        <f>INDEX(cf!$B$5:$CO$107,MATCH($B88,cf!$A$5:$A$107,0),MATCH(J$6,cf!$B$3:$CO$3,0))</f>
        <v>0</v>
      </c>
      <c r="K88" s="28"/>
      <c r="L88" s="28"/>
      <c r="M88" s="28"/>
      <c r="N88" s="28"/>
      <c r="O88" s="28"/>
      <c r="P88" s="28"/>
      <c r="Q88" s="28"/>
    </row>
    <row r="89" spans="2:17" x14ac:dyDescent="0.3">
      <c r="B89" s="1" t="s">
        <v>51</v>
      </c>
      <c r="E89" s="55">
        <f>INDEX(cf!$B$5:$CO$107,MATCH($B89,cf!$A$5:$A$107,0),MATCH(E$6,cf!$B$3:$CO$3,0))</f>
        <v>-205</v>
      </c>
      <c r="F89" s="55">
        <f>INDEX(cf!$B$5:$CO$107,MATCH($B89,cf!$A$5:$A$107,0),MATCH(F$6,cf!$B$3:$CO$3,0))</f>
        <v>-139</v>
      </c>
      <c r="G89" s="55">
        <f>INDEX(cf!$B$5:$CO$107,MATCH($B89,cf!$A$5:$A$107,0),MATCH(G$6,cf!$B$3:$CO$3,0))</f>
        <v>-117</v>
      </c>
      <c r="H89" s="55">
        <f>INDEX(cf!$B$5:$CO$107,MATCH($B89,cf!$A$5:$A$107,0),MATCH(H$6,cf!$B$3:$CO$3,0))</f>
        <v>-18</v>
      </c>
      <c r="I89" s="55">
        <f>INDEX(cf!$B$5:$CO$107,MATCH($B89,cf!$A$5:$A$107,0),MATCH(I$6,cf!$B$3:$CO$3,0))</f>
        <v>-82</v>
      </c>
      <c r="J89" s="55">
        <f>INDEX(cf!$B$5:$CO$107,MATCH($B89,cf!$A$5:$A$107,0),MATCH(J$6,cf!$B$3:$CO$3,0))</f>
        <v>-2092</v>
      </c>
      <c r="K89" s="28"/>
      <c r="L89" s="28"/>
      <c r="M89" s="28"/>
      <c r="N89" s="28"/>
      <c r="O89" s="28"/>
      <c r="P89" s="28"/>
      <c r="Q89" s="28"/>
    </row>
    <row r="90" spans="2:17" x14ac:dyDescent="0.3">
      <c r="B90" s="1" t="s">
        <v>164</v>
      </c>
      <c r="E90" s="55">
        <f>INDEX(cf!$B$5:$CO$107,MATCH($B90,cf!$A$5:$A$107,0),MATCH(E$6,cf!$B$3:$CO$3,0))</f>
        <v>40937</v>
      </c>
      <c r="F90" s="55">
        <f>INDEX(cf!$B$5:$CO$107,MATCH($B90,cf!$A$5:$A$107,0),MATCH(F$6,cf!$B$3:$CO$3,0))</f>
        <v>2111</v>
      </c>
      <c r="G90" s="55">
        <f>INDEX(cf!$B$5:$CO$107,MATCH($B90,cf!$A$5:$A$107,0),MATCH(G$6,cf!$B$3:$CO$3,0))</f>
        <v>4247</v>
      </c>
      <c r="H90" s="55">
        <f>INDEX(cf!$B$5:$CO$107,MATCH($B90,cf!$A$5:$A$107,0),MATCH(H$6,cf!$B$3:$CO$3,0))</f>
        <v>9826</v>
      </c>
      <c r="I90" s="55">
        <f>INDEX(cf!$B$5:$CO$107,MATCH($B90,cf!$A$5:$A$107,0),MATCH(I$6,cf!$B$3:$CO$3,0))</f>
        <v>2659</v>
      </c>
      <c r="J90" s="55">
        <f>INDEX(cf!$B$5:$CO$107,MATCH($B90,cf!$A$5:$A$107,0),MATCH(J$6,cf!$B$3:$CO$3,0))</f>
        <v>3267</v>
      </c>
      <c r="K90" s="28"/>
      <c r="L90" s="28"/>
      <c r="M90" s="28"/>
      <c r="N90" s="28"/>
      <c r="O90" s="28"/>
      <c r="P90" s="28"/>
      <c r="Q90" s="28"/>
    </row>
    <row r="91" spans="2:17" x14ac:dyDescent="0.3">
      <c r="B91" s="1" t="s">
        <v>165</v>
      </c>
      <c r="E91" s="55">
        <f>INDEX(cf!$B$5:$CO$107,MATCH($B91,cf!$A$5:$A$107,0),MATCH(E$6,cf!$B$3:$CO$3,0))</f>
        <v>-20827</v>
      </c>
      <c r="F91" s="55">
        <f>INDEX(cf!$B$5:$CO$107,MATCH($B91,cf!$A$5:$A$107,0),MATCH(F$6,cf!$B$3:$CO$3,0))</f>
        <v>-5586</v>
      </c>
      <c r="G91" s="55">
        <f>INDEX(cf!$B$5:$CO$107,MATCH($B91,cf!$A$5:$A$107,0),MATCH(G$6,cf!$B$3:$CO$3,0))</f>
        <v>-5640</v>
      </c>
      <c r="H91" s="55">
        <f>INDEX(cf!$B$5:$CO$107,MATCH($B91,cf!$A$5:$A$107,0),MATCH(H$6,cf!$B$3:$CO$3,0))</f>
        <v>-10633</v>
      </c>
      <c r="I91" s="55">
        <f>INDEX(cf!$B$5:$CO$107,MATCH($B91,cf!$A$5:$A$107,0),MATCH(I$6,cf!$B$3:$CO$3,0))</f>
        <v>-4843</v>
      </c>
      <c r="J91" s="55">
        <f>INDEX(cf!$B$5:$CO$107,MATCH($B91,cf!$A$5:$A$107,0),MATCH(J$6,cf!$B$3:$CO$3,0))</f>
        <v>-3044</v>
      </c>
      <c r="K91" s="28">
        <f t="shared" ref="K91:Q91" si="120">K29-J29-J27</f>
        <v>0</v>
      </c>
      <c r="L91" s="28">
        <f t="shared" si="120"/>
        <v>0</v>
      </c>
      <c r="M91" s="28">
        <f t="shared" si="120"/>
        <v>0</v>
      </c>
      <c r="N91" s="28">
        <f t="shared" si="120"/>
        <v>0</v>
      </c>
      <c r="O91" s="28">
        <f t="shared" si="120"/>
        <v>0</v>
      </c>
      <c r="P91" s="28">
        <f t="shared" si="120"/>
        <v>0</v>
      </c>
      <c r="Q91" s="28">
        <f t="shared" si="120"/>
        <v>0</v>
      </c>
    </row>
    <row r="92" spans="2:17" x14ac:dyDescent="0.3">
      <c r="B92" s="1" t="s">
        <v>168</v>
      </c>
      <c r="E92" s="55">
        <f>INDEX(cf!$B$5:$CO$107,MATCH($B92,cf!$A$5:$A$107,0),MATCH(E$6,cf!$B$3:$CO$3,0))</f>
        <v>-3465</v>
      </c>
      <c r="F92" s="55">
        <f>INDEX(cf!$B$5:$CO$107,MATCH($B92,cf!$A$5:$A$107,0),MATCH(F$6,cf!$B$3:$CO$3,0))</f>
        <v>-4347</v>
      </c>
      <c r="G92" s="55">
        <f>INDEX(cf!$B$5:$CO$107,MATCH($B92,cf!$A$5:$A$107,0),MATCH(G$6,cf!$B$3:$CO$3,0))</f>
        <v>-4598</v>
      </c>
      <c r="H92" s="55">
        <f>INDEX(cf!$B$5:$CO$107,MATCH($B92,cf!$A$5:$A$107,0),MATCH(H$6,cf!$B$3:$CO$3,0))</f>
        <v>-4745</v>
      </c>
      <c r="I92" s="55">
        <f>INDEX(cf!$B$5:$CO$107,MATCH($B92,cf!$A$5:$A$107,0),MATCH(I$6,cf!$B$3:$CO$3,0))</f>
        <v>-4904</v>
      </c>
      <c r="J92" s="55">
        <f>INDEX(cf!$B$5:$CO$107,MATCH($B92,cf!$A$5:$A$107,0),MATCH(J$6,cf!$B$3:$CO$3,0))</f>
        <v>-4915</v>
      </c>
      <c r="K92" s="28">
        <f>K63*-summary!K37</f>
        <v>-4872.1654396861741</v>
      </c>
      <c r="L92" s="28">
        <f>L63*-summary!L37</f>
        <v>-5086.0470246220611</v>
      </c>
      <c r="M92" s="28">
        <f>M63*-summary!M37</f>
        <v>-5335.2678987365853</v>
      </c>
      <c r="N92" s="28">
        <f>N63*-summary!N37</f>
        <v>-5478.0872297284977</v>
      </c>
      <c r="O92" s="28">
        <f>O63*-summary!O37</f>
        <v>-5621.0479620491978</v>
      </c>
      <c r="P92" s="28">
        <f>P63*-summary!P37</f>
        <v>-5766.6312853357413</v>
      </c>
      <c r="Q92" s="28">
        <f>Q63*-summary!Q37</f>
        <v>-5914.8932968719946</v>
      </c>
    </row>
    <row r="93" spans="2:17" x14ac:dyDescent="0.3">
      <c r="B93" s="1" t="s">
        <v>45</v>
      </c>
      <c r="E93" s="55">
        <f t="shared" ref="E93" si="121">E94-SUM(E88:E92)</f>
        <v>-1681</v>
      </c>
      <c r="F93" s="55">
        <f t="shared" ref="F93" si="122">F94-SUM(F88:F92)</f>
        <v>-1669</v>
      </c>
      <c r="G93" s="55">
        <f t="shared" ref="G93" si="123">G94-SUM(G88:G92)</f>
        <v>-2485</v>
      </c>
      <c r="H93" s="55">
        <f t="shared" ref="H93:J93" si="124">H94-SUM(H88:H92)</f>
        <v>-2327</v>
      </c>
      <c r="I93" s="55">
        <f t="shared" si="124"/>
        <v>-1579</v>
      </c>
      <c r="J93" s="55">
        <f t="shared" si="124"/>
        <v>-2094</v>
      </c>
      <c r="K93" s="28">
        <f>K$58</f>
        <v>-2162.4</v>
      </c>
      <c r="L93" s="28">
        <f t="shared" ref="L93:Q93" si="125">L$58</f>
        <v>-2162.4</v>
      </c>
      <c r="M93" s="28">
        <f t="shared" si="125"/>
        <v>-2162.4</v>
      </c>
      <c r="N93" s="28">
        <f t="shared" si="125"/>
        <v>-2162.4</v>
      </c>
      <c r="O93" s="28">
        <f t="shared" si="125"/>
        <v>-2162.4</v>
      </c>
      <c r="P93" s="28">
        <f t="shared" si="125"/>
        <v>-2162.4</v>
      </c>
      <c r="Q93" s="28">
        <f t="shared" si="125"/>
        <v>-2162.4</v>
      </c>
    </row>
    <row r="94" spans="2:17" ht="15" thickBot="1" x14ac:dyDescent="0.35">
      <c r="B94" s="17" t="s">
        <v>170</v>
      </c>
      <c r="C94" s="17"/>
      <c r="D94" s="17"/>
      <c r="E94" s="77">
        <f>INDEX(cf!$B$5:$CO$107,MATCH($B94,cf!$A$5:$A$107,0),MATCH(E$6,cf!$B$3:$CO$3,0))</f>
        <v>14759</v>
      </c>
      <c r="F94" s="77">
        <f>INDEX(cf!$B$5:$CO$107,MATCH($B94,cf!$A$5:$A$107,0),MATCH(F$6,cf!$B$3:$CO$3,0))</f>
        <v>-9630</v>
      </c>
      <c r="G94" s="77">
        <f>INDEX(cf!$B$5:$CO$107,MATCH($B94,cf!$A$5:$A$107,0),MATCH(G$6,cf!$B$3:$CO$3,0))</f>
        <v>-8593</v>
      </c>
      <c r="H94" s="77">
        <f>INDEX(cf!$B$5:$CO$107,MATCH($B94,cf!$A$5:$A$107,0),MATCH(H$6,cf!$B$3:$CO$3,0))</f>
        <v>-7897</v>
      </c>
      <c r="I94" s="77">
        <f>INDEX(cf!$B$5:$CO$107,MATCH($B94,cf!$A$5:$A$107,0),MATCH(I$6,cf!$B$3:$CO$3,0))</f>
        <v>-8749</v>
      </c>
      <c r="J94" s="77">
        <f>INDEX(cf!$B$5:$CO$107,MATCH($B94,cf!$A$5:$A$107,0),MATCH(J$6,cf!$B$3:$CO$3,0))</f>
        <v>-8878</v>
      </c>
      <c r="K94" s="78">
        <f>SUM(K88:K93)</f>
        <v>-7034.5654396861737</v>
      </c>
      <c r="L94" s="78">
        <f>SUM(L88:L93)</f>
        <v>-7248.4470246220608</v>
      </c>
      <c r="M94" s="78">
        <f t="shared" ref="M94:O94" si="126">SUM(M88:M93)</f>
        <v>-7497.6678987365849</v>
      </c>
      <c r="N94" s="78">
        <f t="shared" si="126"/>
        <v>-7640.4872297284983</v>
      </c>
      <c r="O94" s="78">
        <f t="shared" si="126"/>
        <v>-7783.4479620491984</v>
      </c>
      <c r="P94" s="78">
        <f t="shared" ref="P94:Q94" si="127">SUM(P88:P93)</f>
        <v>-7929.0312853357409</v>
      </c>
      <c r="Q94" s="78">
        <f t="shared" si="127"/>
        <v>-8077.2932968719942</v>
      </c>
    </row>
    <row r="95" spans="2:17" ht="15" thickTop="1" x14ac:dyDescent="0.3">
      <c r="E95" s="55"/>
      <c r="F95" s="55"/>
      <c r="G95" s="55"/>
      <c r="H95" s="55"/>
      <c r="I95" s="55"/>
      <c r="J95" s="55"/>
      <c r="K95" s="28"/>
      <c r="L95" s="28"/>
      <c r="M95" s="28"/>
      <c r="N95" s="28"/>
      <c r="O95" s="28"/>
      <c r="P95" s="28"/>
      <c r="Q95" s="28"/>
    </row>
    <row r="96" spans="2:17" ht="15" thickBot="1" x14ac:dyDescent="0.35">
      <c r="B96" s="17" t="s">
        <v>173</v>
      </c>
      <c r="C96" s="17"/>
      <c r="D96" s="17"/>
      <c r="E96" s="77">
        <f>INDEX(cf!$B$5:$CO$107,MATCH($B96,cf!$A$5:$A$107,0),MATCH(E$6,cf!$B$3:$CO$3,0))</f>
        <v>1651</v>
      </c>
      <c r="F96" s="77">
        <f>INDEX(cf!$B$5:$CO$107,MATCH($B96,cf!$A$5:$A$107,0),MATCH(F$6,cf!$B$3:$CO$3,0))</f>
        <v>2822</v>
      </c>
      <c r="G96" s="77">
        <f>INDEX(cf!$B$5:$CO$107,MATCH($B96,cf!$A$5:$A$107,0),MATCH(G$6,cf!$B$3:$CO$3,0))</f>
        <v>2328</v>
      </c>
      <c r="H96" s="77">
        <f>INDEX(cf!$B$5:$CO$107,MATCH($B96,cf!$A$5:$A$107,0),MATCH(H$6,cf!$B$3:$CO$3,0))</f>
        <v>2035</v>
      </c>
      <c r="I96" s="77">
        <f>INDEX(cf!$B$5:$CO$107,MATCH($B96,cf!$A$5:$A$107,0),MATCH(I$6,cf!$B$3:$CO$3,0))</f>
        <v>2888</v>
      </c>
      <c r="J96" s="77">
        <f>INDEX(cf!$B$5:$CO$107,MATCH($B96,cf!$A$5:$A$107,0),MATCH(J$6,cf!$B$3:$CO$3,0))</f>
        <v>2463</v>
      </c>
      <c r="K96" s="78">
        <f t="shared" ref="K96:Q96" si="128">J100</f>
        <v>3337</v>
      </c>
      <c r="L96" s="78">
        <f t="shared" si="128"/>
        <v>5684.2790187911251</v>
      </c>
      <c r="M96" s="78">
        <f t="shared" si="128"/>
        <v>8256.7801604517808</v>
      </c>
      <c r="N96" s="78">
        <f t="shared" si="128"/>
        <v>11337.167495706066</v>
      </c>
      <c r="O96" s="78">
        <f t="shared" si="128"/>
        <v>13921.304515470289</v>
      </c>
      <c r="P96" s="78">
        <f t="shared" si="128"/>
        <v>16542.207643747843</v>
      </c>
      <c r="Q96" s="78">
        <f t="shared" si="128"/>
        <v>19200.961655693445</v>
      </c>
    </row>
    <row r="97" spans="2:17" ht="15" thickTop="1" x14ac:dyDescent="0.3">
      <c r="B97" s="1" t="s">
        <v>171</v>
      </c>
      <c r="E97" s="55">
        <f t="shared" ref="E97:G97" si="129">E94+E87+E80</f>
        <v>1562</v>
      </c>
      <c r="F97" s="55">
        <f t="shared" si="129"/>
        <v>-356</v>
      </c>
      <c r="G97" s="55">
        <f t="shared" si="129"/>
        <v>-236</v>
      </c>
      <c r="H97" s="55">
        <f t="shared" ref="H97:J97" si="130">H94+H87+H80</f>
        <v>1106</v>
      </c>
      <c r="I97" s="55">
        <f t="shared" si="130"/>
        <v>-172</v>
      </c>
      <c r="J97" s="55">
        <f t="shared" si="130"/>
        <v>811</v>
      </c>
      <c r="K97" s="28">
        <f>SUM(K94,K87,K80)</f>
        <v>2347.2790187911251</v>
      </c>
      <c r="L97" s="28">
        <f t="shared" ref="L97:O97" si="131">SUM(L94,L87,L80)</f>
        <v>2572.5011416606549</v>
      </c>
      <c r="M97" s="28">
        <f t="shared" si="131"/>
        <v>3080.3873352542851</v>
      </c>
      <c r="N97" s="28">
        <f t="shared" si="131"/>
        <v>2584.1370197642227</v>
      </c>
      <c r="O97" s="28">
        <f t="shared" si="131"/>
        <v>2620.9031282775541</v>
      </c>
      <c r="P97" s="28">
        <f t="shared" ref="P97:Q97" si="132">SUM(P94,P87,P80)</f>
        <v>2658.7540119456025</v>
      </c>
      <c r="Q97" s="28">
        <f t="shared" si="132"/>
        <v>2697.7059825395281</v>
      </c>
    </row>
    <row r="98" spans="2:17" x14ac:dyDescent="0.3">
      <c r="B98" s="1" t="s">
        <v>311</v>
      </c>
      <c r="E98" s="55"/>
      <c r="F98" s="55"/>
      <c r="G98" s="55"/>
      <c r="H98" s="55"/>
      <c r="I98" s="55"/>
      <c r="J98" s="55">
        <v>-368</v>
      </c>
      <c r="K98" s="28"/>
      <c r="L98" s="28"/>
      <c r="M98" s="28"/>
      <c r="N98" s="28"/>
      <c r="O98" s="28"/>
      <c r="P98" s="28"/>
      <c r="Q98" s="28"/>
    </row>
    <row r="99" spans="2:17" x14ac:dyDescent="0.3">
      <c r="B99" s="1" t="s">
        <v>174</v>
      </c>
      <c r="E99" s="55">
        <f>INDEX(cf!$B$5:$CO$107,MATCH($B99,cf!$A$5:$A$107,0),MATCH(E$6,cf!$B$3:$CO$3,0))</f>
        <v>-391</v>
      </c>
      <c r="F99" s="55">
        <f>INDEX(cf!$B$5:$CO$107,MATCH($B99,cf!$A$5:$A$107,0),MATCH(F$6,cf!$B$3:$CO$3,0))</f>
        <v>-138</v>
      </c>
      <c r="G99" s="55">
        <f>INDEX(cf!$B$5:$CO$107,MATCH($B99,cf!$A$5:$A$107,0),MATCH(G$6,cf!$B$3:$CO$3,0))</f>
        <v>-57</v>
      </c>
      <c r="H99" s="55">
        <f>INDEX(cf!$B$5:$CO$107,MATCH($B99,cf!$A$5:$A$107,0),MATCH(H$6,cf!$B$3:$CO$3,0))</f>
        <v>-253</v>
      </c>
      <c r="I99" s="55">
        <f>INDEX(cf!$B$5:$CO$107,MATCH($B99,cf!$A$5:$A$107,0),MATCH(I$6,cf!$B$3:$CO$3,0))</f>
        <v>-253</v>
      </c>
      <c r="J99" s="55">
        <f>INDEX(cf!$B$5:$CO$107,MATCH($B99,cf!$A$5:$A$107,0),MATCH(J$6,cf!$B$3:$CO$3,0))</f>
        <v>431</v>
      </c>
      <c r="K99" s="28"/>
      <c r="L99" s="28"/>
      <c r="M99" s="28"/>
      <c r="N99" s="28"/>
      <c r="O99" s="28"/>
      <c r="P99" s="28"/>
      <c r="Q99" s="28"/>
    </row>
    <row r="100" spans="2:17" ht="15" thickBot="1" x14ac:dyDescent="0.35">
      <c r="B100" s="17" t="s">
        <v>175</v>
      </c>
      <c r="C100" s="17"/>
      <c r="D100" s="17"/>
      <c r="E100" s="77">
        <f>SUM(E96:E99)</f>
        <v>2822</v>
      </c>
      <c r="F100" s="77">
        <f t="shared" ref="F100:G100" si="133">SUM(F96:F99)</f>
        <v>2328</v>
      </c>
      <c r="G100" s="77">
        <f t="shared" si="133"/>
        <v>2035</v>
      </c>
      <c r="H100" s="77">
        <f t="shared" ref="H100:K100" si="134">SUM(H96:H99)</f>
        <v>2888</v>
      </c>
      <c r="I100" s="77">
        <f t="shared" si="134"/>
        <v>2463</v>
      </c>
      <c r="J100" s="77">
        <f t="shared" si="134"/>
        <v>3337</v>
      </c>
      <c r="K100" s="78">
        <f t="shared" si="134"/>
        <v>5684.2790187911251</v>
      </c>
      <c r="L100" s="78">
        <f t="shared" ref="L100:O100" si="135">SUM(L96:L99)</f>
        <v>8256.7801604517808</v>
      </c>
      <c r="M100" s="78">
        <f t="shared" si="135"/>
        <v>11337.167495706066</v>
      </c>
      <c r="N100" s="78">
        <f t="shared" si="135"/>
        <v>13921.304515470289</v>
      </c>
      <c r="O100" s="78">
        <f t="shared" si="135"/>
        <v>16542.207643747843</v>
      </c>
      <c r="P100" s="78">
        <f t="shared" ref="P100:Q100" si="136">SUM(P96:P99)</f>
        <v>19200.961655693445</v>
      </c>
      <c r="Q100" s="78">
        <f t="shared" si="136"/>
        <v>21898.667638232975</v>
      </c>
    </row>
    <row r="101" spans="2:17" ht="15" thickTop="1" x14ac:dyDescent="0.3"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3">
      <c r="B102" s="21" t="s">
        <v>41</v>
      </c>
      <c r="D102" s="68" t="s">
        <v>175</v>
      </c>
      <c r="E102" s="84">
        <f>INDEX(cf!$B$5:$CO$107,MATCH($D102,cf!$A$5:$A$107,0),MATCH(E$6,cf!$B$3:$CO$3,0))</f>
        <v>2822</v>
      </c>
      <c r="F102" s="84">
        <f>INDEX(cf!$B$5:$CO$107,MATCH($D102,cf!$A$5:$A$107,0),MATCH(F$6,cf!$B$3:$CO$3,0))</f>
        <v>2328</v>
      </c>
      <c r="G102" s="84">
        <f>INDEX(cf!$B$5:$CO$107,MATCH($D102,cf!$A$5:$A$107,0),MATCH(G$6,cf!$B$3:$CO$3,0))</f>
        <v>2035</v>
      </c>
      <c r="H102" s="84">
        <f>INDEX(cf!$B$5:$CO$107,MATCH($D102,cf!$A$5:$A$107,0),MATCH(H$6,cf!$B$3:$CO$3,0))</f>
        <v>2888</v>
      </c>
      <c r="I102" s="84">
        <f>INDEX(cf!$B$5:$CO$107,MATCH($D102,cf!$A$5:$A$107,0),MATCH(I$6,cf!$B$3:$CO$3,0))</f>
        <v>2463</v>
      </c>
      <c r="J102" s="84">
        <f t="shared" ref="J102:Q102" si="137">J12</f>
        <v>3337</v>
      </c>
      <c r="K102" s="84">
        <f t="shared" si="137"/>
        <v>5684.2790187911251</v>
      </c>
      <c r="L102" s="84">
        <f t="shared" si="137"/>
        <v>8256.7801604517808</v>
      </c>
      <c r="M102" s="84">
        <f t="shared" si="137"/>
        <v>11337.167495706066</v>
      </c>
      <c r="N102" s="84">
        <f t="shared" si="137"/>
        <v>13921.304515470289</v>
      </c>
      <c r="O102" s="84">
        <f t="shared" si="137"/>
        <v>16542.207643747843</v>
      </c>
      <c r="P102" s="84">
        <f t="shared" si="137"/>
        <v>19200.961655693445</v>
      </c>
      <c r="Q102" s="84">
        <f t="shared" si="137"/>
        <v>21898.667638232975</v>
      </c>
    </row>
    <row r="103" spans="2:17" x14ac:dyDescent="0.3">
      <c r="B103" s="21" t="s">
        <v>23</v>
      </c>
      <c r="E103" s="30">
        <f t="shared" ref="E103:O103" si="138">ROUND(E102-E100,0)</f>
        <v>0</v>
      </c>
      <c r="F103" s="30">
        <f t="shared" si="138"/>
        <v>0</v>
      </c>
      <c r="G103" s="30">
        <f t="shared" si="138"/>
        <v>0</v>
      </c>
      <c r="H103" s="30">
        <f t="shared" ref="H103:K103" si="139">ROUND(H102-H100,0)</f>
        <v>0</v>
      </c>
      <c r="I103" s="30">
        <f t="shared" si="139"/>
        <v>0</v>
      </c>
      <c r="J103" s="30">
        <f>ROUND(J102-J100,0)</f>
        <v>0</v>
      </c>
      <c r="K103" s="30">
        <f t="shared" si="139"/>
        <v>0</v>
      </c>
      <c r="L103" s="30">
        <f t="shared" si="138"/>
        <v>0</v>
      </c>
      <c r="M103" s="30">
        <f t="shared" si="138"/>
        <v>0</v>
      </c>
      <c r="N103" s="30">
        <f t="shared" si="138"/>
        <v>0</v>
      </c>
      <c r="O103" s="30">
        <f t="shared" si="138"/>
        <v>0</v>
      </c>
      <c r="P103" s="30">
        <f t="shared" ref="P103:Q103" si="140">ROUND(P102-P100,0)</f>
        <v>0</v>
      </c>
      <c r="Q103" s="30">
        <f t="shared" si="140"/>
        <v>0</v>
      </c>
    </row>
  </sheetData>
  <sheetProtection algorithmName="SHA-512" hashValue="XXMYjSXR7FAvTHpDHdjA0cJ5DfsfKiUjnikVXAro8Uk2cxYIMO+R8cpj5e3ldPP2TPP35MO9dxbnYxFvzm+DPQ==" saltValue="6LjNVNOnI/BK3QKqQ4UB1Q==" spinCount="100000" sheet="1" selectLockedCells="1"/>
  <conditionalFormatting sqref="E45:Q45 E71:Q71 E103:Q103">
    <cfRule type="cellIs" dxfId="6" priority="47" operator="equal">
      <formula>0</formula>
    </cfRule>
  </conditionalFormatting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8" id="{FD2E710A-171D-47AC-95F6-04A30387347E}">
            <xm:f>D$6&gt;cover!$E$13</xm:f>
            <x14:dxf>
              <font>
                <color auto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D74 E25:Q27 E60:Q60 E56:Q56 E97:Q99 E49:Q50 E18:Q22 E29:Q33 E66:Q66 E68:Q68 E58:Q58 E12:Q16 E62:Q62 E88:Q93 E81:Q86 E75:Q79 E52:Q54 E38:Q42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ED5BE-0D9E-4093-8F12-2222BD290101}">
  <sheetPr>
    <tabColor theme="4" tint="0.79998168889431442"/>
  </sheetPr>
  <dimension ref="A1:P10"/>
  <sheetViews>
    <sheetView workbookViewId="0">
      <selection activeCell="E10" sqref="E10"/>
    </sheetView>
  </sheetViews>
  <sheetFormatPr defaultColWidth="9.109375" defaultRowHeight="14.4" x14ac:dyDescent="0.3"/>
  <cols>
    <col min="1" max="1" width="2.6640625" style="1" customWidth="1"/>
    <col min="2" max="5" width="12.6640625" style="1" customWidth="1"/>
    <col min="6" max="6" width="12.6640625" style="8" customWidth="1"/>
    <col min="7" max="52" width="12.6640625" style="1" customWidth="1"/>
    <col min="53" max="16384" width="9.109375" style="1"/>
  </cols>
  <sheetData>
    <row r="1" spans="1:16" ht="33.6" x14ac:dyDescent="0.65">
      <c r="B1" s="65" t="s">
        <v>130</v>
      </c>
    </row>
    <row r="2" spans="1:16" s="15" customFormat="1" ht="15" thickBot="1" x14ac:dyDescent="0.35">
      <c r="A2" s="13"/>
      <c r="B2" s="14" t="str">
        <f ca="1">UPPER(cover!E8&amp;" - "&amp;DAY(cover!E12)&amp;"/"&amp;MONTH(cover!E12)&amp;"/"&amp;YEAR(cover!E12))</f>
        <v>BRITISH AMERICAN TOBACCO PLC - 4/6/2023</v>
      </c>
      <c r="F2" s="13"/>
    </row>
    <row r="3" spans="1:16" ht="15" thickTop="1" x14ac:dyDescent="0.3">
      <c r="B3" s="25" t="str">
        <f>IF($E$10&lt;&gt;0,"**ERROR**","")</f>
        <v/>
      </c>
    </row>
    <row r="4" spans="1:16" s="3" customFormat="1" x14ac:dyDescent="0.3">
      <c r="A4" s="5"/>
      <c r="B4" s="2" t="s">
        <v>24</v>
      </c>
      <c r="F4" s="4"/>
    </row>
    <row r="6" spans="1:16" x14ac:dyDescent="0.3">
      <c r="B6" s="1" t="s">
        <v>25</v>
      </c>
      <c r="E6" s="23">
        <f>ROUND(SUM('detailed-financials'!E45:M45),0)</f>
        <v>0</v>
      </c>
      <c r="F6" s="20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x14ac:dyDescent="0.3">
      <c r="B7" s="1" t="s">
        <v>26</v>
      </c>
      <c r="E7" s="23">
        <f>ROUND(SUM('detailed-financials'!E71:M71),0)</f>
        <v>0</v>
      </c>
      <c r="F7" s="20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3">
      <c r="B8" s="1" t="s">
        <v>27</v>
      </c>
      <c r="E8" s="23">
        <f>ROUND(SUM('detailed-financials'!E103:M103),0)</f>
        <v>0</v>
      </c>
      <c r="F8" s="20"/>
      <c r="G8" s="19"/>
      <c r="H8" s="19"/>
      <c r="I8" s="19"/>
      <c r="J8" s="19"/>
      <c r="K8" s="19"/>
      <c r="L8" s="19"/>
      <c r="M8" s="19"/>
      <c r="N8" s="19"/>
      <c r="O8" s="19"/>
      <c r="P8" s="19"/>
    </row>
    <row r="10" spans="1:16" x14ac:dyDescent="0.3">
      <c r="B10" s="21" t="s">
        <v>23</v>
      </c>
      <c r="E10" s="23">
        <f>SUM(E6:E8)</f>
        <v>0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</sheetData>
  <sheetProtection algorithmName="SHA-512" hashValue="SeOSN9fBNu5kvBwC/dXyy6Swn7s63BY1avSh8REWxDxH1AsirrC9vfKFz0FGMiUF/suMPMHxmu+67F38JEFZ+A==" saltValue="WEQbou6MqZaeEsS2SgzqDg==" spinCount="100000" sheet="1" objects="1" scenarios="1" selectLockedCells="1" selectUnlockedCells="1"/>
  <conditionalFormatting sqref="E6:E8">
    <cfRule type="cellIs" dxfId="4" priority="2" operator="equal">
      <formula>0</formula>
    </cfRule>
  </conditionalFormatting>
  <conditionalFormatting sqref="E10">
    <cfRule type="cellIs" dxfId="3" priority="1" operator="equal">
      <formula>0</formula>
    </cfRule>
  </conditionalFormatting>
  <conditionalFormatting sqref="F10:P10">
    <cfRule type="cellIs" dxfId="2" priority="3" operator="notEqual">
      <formula>"OK"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7E03B-BD75-4287-81A8-0D85D722E39E}">
  <sheetPr>
    <tabColor theme="6" tint="0.59999389629810485"/>
  </sheetPr>
  <dimension ref="A1"/>
  <sheetViews>
    <sheetView workbookViewId="0">
      <selection activeCell="M4" sqref="M4"/>
    </sheetView>
  </sheetViews>
  <sheetFormatPr defaultRowHeight="14.4" x14ac:dyDescent="0.3"/>
  <cols>
    <col min="1" max="16384" width="8.88671875" style="67"/>
  </cols>
  <sheetData/>
  <sheetProtection sheet="1" objects="1" scenarios="1" selectLockedCells="1" selectUnlockedCells="1"/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55C48-F607-49CE-93AC-C793C8ABBDEA}">
  <sheetPr>
    <tabColor theme="6" tint="0.59999389629810485"/>
  </sheetPr>
  <dimension ref="A2:BU6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7" sqref="E7"/>
    </sheetView>
  </sheetViews>
  <sheetFormatPr defaultRowHeight="14.4" x14ac:dyDescent="0.3"/>
  <cols>
    <col min="1" max="1" width="30.6640625" bestFit="1" customWidth="1"/>
    <col min="2" max="73" width="11.109375" bestFit="1" customWidth="1"/>
  </cols>
  <sheetData>
    <row r="2" spans="1:73" x14ac:dyDescent="0.3">
      <c r="A2" t="s">
        <v>133</v>
      </c>
      <c r="B2">
        <v>1995</v>
      </c>
      <c r="C2">
        <v>1996</v>
      </c>
      <c r="D2">
        <v>1997</v>
      </c>
      <c r="E2">
        <v>1998</v>
      </c>
      <c r="F2">
        <v>1999</v>
      </c>
      <c r="G2">
        <v>2000</v>
      </c>
      <c r="H2">
        <v>2000</v>
      </c>
      <c r="I2">
        <v>2000</v>
      </c>
      <c r="J2">
        <v>2000</v>
      </c>
      <c r="K2">
        <v>2001</v>
      </c>
      <c r="L2">
        <v>2001</v>
      </c>
      <c r="M2">
        <v>2001</v>
      </c>
      <c r="N2">
        <v>2001</v>
      </c>
      <c r="O2">
        <v>2002</v>
      </c>
      <c r="P2">
        <v>2002</v>
      </c>
      <c r="Q2">
        <v>2002</v>
      </c>
      <c r="R2">
        <v>2002</v>
      </c>
      <c r="S2">
        <v>2003</v>
      </c>
      <c r="T2">
        <v>2003</v>
      </c>
      <c r="U2">
        <v>2003</v>
      </c>
      <c r="V2">
        <v>2003</v>
      </c>
      <c r="W2">
        <v>2004</v>
      </c>
      <c r="X2">
        <v>2004</v>
      </c>
      <c r="Y2">
        <v>2004</v>
      </c>
      <c r="Z2">
        <v>2004</v>
      </c>
      <c r="AA2">
        <v>2005</v>
      </c>
      <c r="AB2">
        <v>2005</v>
      </c>
      <c r="AC2">
        <v>2005</v>
      </c>
      <c r="AD2">
        <v>2005</v>
      </c>
      <c r="AE2">
        <v>2006</v>
      </c>
      <c r="AF2">
        <v>2006</v>
      </c>
      <c r="AG2">
        <v>2006</v>
      </c>
      <c r="AH2">
        <v>2006</v>
      </c>
      <c r="AI2">
        <v>2007</v>
      </c>
      <c r="AJ2">
        <v>2007</v>
      </c>
      <c r="AK2">
        <v>2007</v>
      </c>
      <c r="AL2">
        <v>2007</v>
      </c>
      <c r="AM2">
        <v>2008</v>
      </c>
      <c r="AN2">
        <v>2008</v>
      </c>
      <c r="AO2">
        <v>2008</v>
      </c>
      <c r="AP2">
        <v>2008</v>
      </c>
      <c r="AQ2">
        <v>2009</v>
      </c>
      <c r="AR2">
        <v>2009</v>
      </c>
      <c r="AS2">
        <v>2010</v>
      </c>
      <c r="AT2">
        <v>2010</v>
      </c>
      <c r="AU2">
        <v>2011</v>
      </c>
      <c r="AV2">
        <v>2011</v>
      </c>
      <c r="AW2">
        <v>2012</v>
      </c>
      <c r="AX2">
        <v>2012</v>
      </c>
      <c r="AY2">
        <v>2013</v>
      </c>
      <c r="AZ2">
        <v>2013</v>
      </c>
      <c r="BA2">
        <v>2014</v>
      </c>
      <c r="BB2">
        <v>2014</v>
      </c>
      <c r="BC2">
        <v>2015</v>
      </c>
      <c r="BD2">
        <v>2015</v>
      </c>
      <c r="BE2">
        <v>2016</v>
      </c>
      <c r="BF2">
        <v>2016</v>
      </c>
      <c r="BG2">
        <v>2017</v>
      </c>
      <c r="BH2">
        <v>2017</v>
      </c>
      <c r="BI2">
        <v>2018</v>
      </c>
      <c r="BJ2">
        <v>2018</v>
      </c>
      <c r="BK2">
        <v>2019</v>
      </c>
      <c r="BL2">
        <v>2019</v>
      </c>
      <c r="BM2">
        <v>2020</v>
      </c>
      <c r="BN2">
        <v>2020</v>
      </c>
      <c r="BO2">
        <v>2021</v>
      </c>
      <c r="BP2">
        <v>2021</v>
      </c>
      <c r="BQ2">
        <v>2022</v>
      </c>
      <c r="BR2">
        <v>2022</v>
      </c>
      <c r="BS2">
        <v>2023</v>
      </c>
      <c r="BT2">
        <v>2024</v>
      </c>
      <c r="BU2">
        <v>2025</v>
      </c>
    </row>
    <row r="3" spans="1:73" x14ac:dyDescent="0.3">
      <c r="A3" t="s">
        <v>139</v>
      </c>
      <c r="B3" s="66">
        <v>35064</v>
      </c>
      <c r="C3" s="66">
        <v>35430</v>
      </c>
      <c r="D3" s="66">
        <v>35795</v>
      </c>
      <c r="E3" s="66">
        <v>36160</v>
      </c>
      <c r="F3" s="66">
        <v>36525</v>
      </c>
      <c r="G3" s="66">
        <v>36616</v>
      </c>
      <c r="H3" s="66">
        <v>36707</v>
      </c>
      <c r="I3" s="66">
        <v>36799</v>
      </c>
      <c r="J3" s="66">
        <v>36891</v>
      </c>
      <c r="K3" s="66">
        <v>36981</v>
      </c>
      <c r="L3" s="66">
        <v>37072</v>
      </c>
      <c r="M3" s="66">
        <v>37164</v>
      </c>
      <c r="N3" s="66">
        <v>37256</v>
      </c>
      <c r="O3" s="66">
        <v>37346</v>
      </c>
      <c r="P3" s="66">
        <v>37437</v>
      </c>
      <c r="Q3" s="66">
        <v>37529</v>
      </c>
      <c r="R3" s="66">
        <v>37621</v>
      </c>
      <c r="S3" s="66">
        <v>37711</v>
      </c>
      <c r="T3" s="66">
        <v>37802</v>
      </c>
      <c r="U3" s="66">
        <v>37894</v>
      </c>
      <c r="V3" s="66">
        <v>37986</v>
      </c>
      <c r="W3" s="66">
        <v>38077</v>
      </c>
      <c r="X3" s="66">
        <v>38168</v>
      </c>
      <c r="Y3" s="66">
        <v>38260</v>
      </c>
      <c r="Z3" s="66">
        <v>38352</v>
      </c>
      <c r="AA3" s="66">
        <v>38442</v>
      </c>
      <c r="AB3" s="66">
        <v>38533</v>
      </c>
      <c r="AC3" s="66">
        <v>38625</v>
      </c>
      <c r="AD3" s="66">
        <v>38717</v>
      </c>
      <c r="AE3" s="66">
        <v>38807</v>
      </c>
      <c r="AF3" s="66">
        <v>38898</v>
      </c>
      <c r="AG3" s="66">
        <v>38990</v>
      </c>
      <c r="AH3" s="66">
        <v>39082</v>
      </c>
      <c r="AI3" s="66">
        <v>39172</v>
      </c>
      <c r="AJ3" s="66">
        <v>39263</v>
      </c>
      <c r="AK3" s="66">
        <v>39355</v>
      </c>
      <c r="AL3" s="66">
        <v>39447</v>
      </c>
      <c r="AM3" s="66">
        <v>39538</v>
      </c>
      <c r="AN3" s="66">
        <v>39629</v>
      </c>
      <c r="AO3" s="66">
        <v>39721</v>
      </c>
      <c r="AP3" s="66">
        <v>39813</v>
      </c>
      <c r="AQ3" s="66">
        <v>39994</v>
      </c>
      <c r="AR3" s="66">
        <v>40178</v>
      </c>
      <c r="AS3" s="66">
        <v>40359</v>
      </c>
      <c r="AT3" s="66">
        <v>40543</v>
      </c>
      <c r="AU3" s="66">
        <v>40724</v>
      </c>
      <c r="AV3" s="66">
        <v>40908</v>
      </c>
      <c r="AW3" s="66">
        <v>41090</v>
      </c>
      <c r="AX3" s="66">
        <v>41274</v>
      </c>
      <c r="AY3" s="66">
        <v>41455</v>
      </c>
      <c r="AZ3" s="66">
        <v>41639</v>
      </c>
      <c r="BA3" s="66">
        <v>41820</v>
      </c>
      <c r="BB3" s="66">
        <v>42004</v>
      </c>
      <c r="BC3" s="66">
        <v>42185</v>
      </c>
      <c r="BD3" s="66">
        <v>42369</v>
      </c>
      <c r="BE3" s="66">
        <v>42551</v>
      </c>
      <c r="BF3" s="66">
        <v>42735</v>
      </c>
      <c r="BG3" s="66">
        <v>42916</v>
      </c>
      <c r="BH3" s="66">
        <v>43100</v>
      </c>
      <c r="BI3" s="66">
        <v>43281</v>
      </c>
      <c r="BJ3" s="66">
        <v>43465</v>
      </c>
      <c r="BK3" s="66">
        <v>43646</v>
      </c>
      <c r="BL3" s="66">
        <v>43830</v>
      </c>
      <c r="BM3" s="66">
        <v>44012</v>
      </c>
      <c r="BN3" s="66">
        <v>44196</v>
      </c>
      <c r="BO3" s="66">
        <v>44377</v>
      </c>
      <c r="BP3" s="66">
        <v>44561</v>
      </c>
      <c r="BQ3" s="66">
        <v>44742</v>
      </c>
      <c r="BR3" s="66">
        <v>44926</v>
      </c>
      <c r="BS3" s="66">
        <v>45291</v>
      </c>
      <c r="BT3" s="66">
        <v>45657</v>
      </c>
      <c r="BU3" s="66">
        <v>46022</v>
      </c>
    </row>
    <row r="4" spans="1:73" x14ac:dyDescent="0.3">
      <c r="A4" t="s">
        <v>140</v>
      </c>
      <c r="B4" t="s">
        <v>279</v>
      </c>
      <c r="C4" t="s">
        <v>279</v>
      </c>
      <c r="D4" t="s">
        <v>279</v>
      </c>
      <c r="E4" t="s">
        <v>279</v>
      </c>
      <c r="F4" t="s">
        <v>279</v>
      </c>
      <c r="G4" t="s">
        <v>306</v>
      </c>
      <c r="H4" t="s">
        <v>300</v>
      </c>
      <c r="I4" t="s">
        <v>307</v>
      </c>
      <c r="J4" t="s">
        <v>279</v>
      </c>
      <c r="K4" t="s">
        <v>306</v>
      </c>
      <c r="L4" t="s">
        <v>300</v>
      </c>
      <c r="M4" t="s">
        <v>307</v>
      </c>
      <c r="N4" t="s">
        <v>279</v>
      </c>
      <c r="O4" t="s">
        <v>306</v>
      </c>
      <c r="P4" t="s">
        <v>300</v>
      </c>
      <c r="Q4" t="s">
        <v>307</v>
      </c>
      <c r="R4" t="s">
        <v>279</v>
      </c>
      <c r="S4" t="s">
        <v>306</v>
      </c>
      <c r="T4" t="s">
        <v>300</v>
      </c>
      <c r="U4" t="s">
        <v>307</v>
      </c>
      <c r="V4" t="s">
        <v>279</v>
      </c>
      <c r="W4" t="s">
        <v>306</v>
      </c>
      <c r="X4" t="s">
        <v>300</v>
      </c>
      <c r="Y4" t="s">
        <v>307</v>
      </c>
      <c r="Z4" t="s">
        <v>279</v>
      </c>
      <c r="AA4" t="s">
        <v>306</v>
      </c>
      <c r="AB4" t="s">
        <v>300</v>
      </c>
      <c r="AC4" t="s">
        <v>307</v>
      </c>
      <c r="AD4" t="s">
        <v>279</v>
      </c>
      <c r="AE4" t="s">
        <v>306</v>
      </c>
      <c r="AF4" t="s">
        <v>300</v>
      </c>
      <c r="AG4" t="s">
        <v>307</v>
      </c>
      <c r="AH4" t="s">
        <v>279</v>
      </c>
      <c r="AI4" t="s">
        <v>306</v>
      </c>
      <c r="AJ4" t="s">
        <v>300</v>
      </c>
      <c r="AK4" t="s">
        <v>307</v>
      </c>
      <c r="AL4" t="s">
        <v>279</v>
      </c>
      <c r="AM4" t="s">
        <v>306</v>
      </c>
      <c r="AN4" t="s">
        <v>300</v>
      </c>
      <c r="AO4" t="s">
        <v>307</v>
      </c>
      <c r="AP4" t="s">
        <v>279</v>
      </c>
      <c r="AQ4" t="s">
        <v>300</v>
      </c>
      <c r="AR4" t="s">
        <v>279</v>
      </c>
      <c r="AS4" t="s">
        <v>300</v>
      </c>
      <c r="AT4" t="s">
        <v>279</v>
      </c>
      <c r="AU4" t="s">
        <v>300</v>
      </c>
      <c r="AV4" t="s">
        <v>279</v>
      </c>
      <c r="AW4" t="s">
        <v>300</v>
      </c>
      <c r="AX4" t="s">
        <v>279</v>
      </c>
      <c r="AY4" t="s">
        <v>300</v>
      </c>
      <c r="AZ4" t="s">
        <v>279</v>
      </c>
      <c r="BA4" t="s">
        <v>300</v>
      </c>
      <c r="BB4" t="s">
        <v>279</v>
      </c>
      <c r="BC4" t="s">
        <v>300</v>
      </c>
      <c r="BD4" t="s">
        <v>279</v>
      </c>
      <c r="BE4" t="s">
        <v>300</v>
      </c>
      <c r="BF4" t="s">
        <v>279</v>
      </c>
      <c r="BG4" t="s">
        <v>300</v>
      </c>
      <c r="BH4" t="s">
        <v>279</v>
      </c>
      <c r="BI4" t="s">
        <v>300</v>
      </c>
      <c r="BJ4" t="s">
        <v>279</v>
      </c>
      <c r="BK4" t="s">
        <v>300</v>
      </c>
      <c r="BL4" t="s">
        <v>279</v>
      </c>
      <c r="BM4" t="s">
        <v>300</v>
      </c>
      <c r="BN4" t="s">
        <v>279</v>
      </c>
      <c r="BO4" t="s">
        <v>300</v>
      </c>
      <c r="BP4" t="s">
        <v>279</v>
      </c>
      <c r="BQ4" t="s">
        <v>300</v>
      </c>
      <c r="BR4" t="s">
        <v>279</v>
      </c>
      <c r="BS4" t="s">
        <v>308</v>
      </c>
      <c r="BT4" t="s">
        <v>308</v>
      </c>
      <c r="BU4" t="s">
        <v>308</v>
      </c>
    </row>
    <row r="5" spans="1:73" x14ac:dyDescent="0.3">
      <c r="A5" t="s">
        <v>141</v>
      </c>
    </row>
    <row r="6" spans="1:73" x14ac:dyDescent="0.3">
      <c r="A6" t="s">
        <v>242</v>
      </c>
    </row>
    <row r="7" spans="1:73" x14ac:dyDescent="0.3">
      <c r="A7" t="s">
        <v>134</v>
      </c>
      <c r="B7">
        <v>6771</v>
      </c>
      <c r="C7">
        <v>7241</v>
      </c>
      <c r="D7">
        <v>7152</v>
      </c>
      <c r="E7">
        <v>7120</v>
      </c>
      <c r="F7">
        <v>9072</v>
      </c>
      <c r="G7">
        <v>5356</v>
      </c>
      <c r="H7">
        <v>5708</v>
      </c>
      <c r="I7">
        <v>8675</v>
      </c>
      <c r="J7">
        <v>10915</v>
      </c>
      <c r="K7">
        <v>2843</v>
      </c>
      <c r="L7">
        <v>5858</v>
      </c>
      <c r="M7">
        <v>8936</v>
      </c>
      <c r="N7">
        <v>11371</v>
      </c>
      <c r="O7">
        <v>5521</v>
      </c>
      <c r="P7">
        <v>5661</v>
      </c>
      <c r="Q7">
        <v>8701</v>
      </c>
      <c r="R7">
        <v>10600</v>
      </c>
      <c r="S7">
        <v>5128</v>
      </c>
      <c r="T7">
        <v>5587</v>
      </c>
      <c r="U7">
        <v>8509</v>
      </c>
      <c r="V7">
        <v>10570</v>
      </c>
      <c r="W7">
        <v>2635</v>
      </c>
      <c r="X7">
        <v>5539</v>
      </c>
      <c r="Y7">
        <v>8201</v>
      </c>
      <c r="Z7">
        <v>10768</v>
      </c>
      <c r="AA7">
        <v>2107</v>
      </c>
      <c r="AB7">
        <v>4399</v>
      </c>
      <c r="AC7">
        <v>6884</v>
      </c>
      <c r="AD7">
        <v>9325</v>
      </c>
      <c r="AE7">
        <v>2297</v>
      </c>
      <c r="AF7">
        <v>4808</v>
      </c>
      <c r="AG7">
        <v>7251</v>
      </c>
      <c r="AH7">
        <v>9762</v>
      </c>
      <c r="AI7">
        <v>2232</v>
      </c>
      <c r="AJ7">
        <v>4725</v>
      </c>
      <c r="AK7">
        <v>7312</v>
      </c>
      <c r="AL7">
        <v>10018</v>
      </c>
      <c r="AM7">
        <v>2541</v>
      </c>
      <c r="AN7">
        <v>5457</v>
      </c>
      <c r="AO7">
        <v>8704</v>
      </c>
      <c r="AP7">
        <v>12122</v>
      </c>
      <c r="AQ7">
        <v>6780</v>
      </c>
      <c r="AR7">
        <v>14208</v>
      </c>
      <c r="AS7">
        <v>7298</v>
      </c>
      <c r="AT7">
        <v>14883</v>
      </c>
      <c r="AU7">
        <v>7438</v>
      </c>
      <c r="AV7">
        <v>15399</v>
      </c>
      <c r="AW7">
        <v>7452</v>
      </c>
      <c r="AX7">
        <v>15190</v>
      </c>
      <c r="AY7">
        <v>7572</v>
      </c>
      <c r="AZ7">
        <v>15260</v>
      </c>
      <c r="BA7">
        <v>6798</v>
      </c>
      <c r="BB7">
        <v>13971</v>
      </c>
      <c r="BC7">
        <v>6398</v>
      </c>
      <c r="BD7">
        <v>13104</v>
      </c>
      <c r="BE7">
        <v>6669</v>
      </c>
      <c r="BF7">
        <v>14130</v>
      </c>
      <c r="BG7">
        <v>7418</v>
      </c>
      <c r="BH7">
        <v>19564</v>
      </c>
      <c r="BI7">
        <v>11636</v>
      </c>
      <c r="BJ7">
        <v>24492</v>
      </c>
      <c r="BK7">
        <v>12170</v>
      </c>
      <c r="BL7">
        <v>25877</v>
      </c>
      <c r="BM7">
        <v>12271</v>
      </c>
      <c r="BN7">
        <v>25776</v>
      </c>
      <c r="BO7">
        <v>12175</v>
      </c>
      <c r="BP7">
        <v>25684</v>
      </c>
      <c r="BQ7">
        <v>12869</v>
      </c>
      <c r="BR7">
        <v>27655</v>
      </c>
      <c r="BS7">
        <v>28341.599999999999</v>
      </c>
      <c r="BT7">
        <v>29255.5</v>
      </c>
      <c r="BU7">
        <v>30326.3</v>
      </c>
    </row>
    <row r="8" spans="1:73" x14ac:dyDescent="0.3">
      <c r="A8" t="s">
        <v>32</v>
      </c>
      <c r="AA8">
        <v>-642</v>
      </c>
      <c r="AB8">
        <v>-1241</v>
      </c>
      <c r="AC8">
        <v>-2053</v>
      </c>
      <c r="AD8">
        <v>-2762</v>
      </c>
      <c r="AE8">
        <v>-645</v>
      </c>
      <c r="AF8">
        <v>-1436</v>
      </c>
      <c r="AG8">
        <v>-2147</v>
      </c>
      <c r="AH8">
        <v>-2850</v>
      </c>
      <c r="AI8">
        <v>-590</v>
      </c>
      <c r="AJ8">
        <v>-1308</v>
      </c>
      <c r="AK8">
        <v>-2024</v>
      </c>
      <c r="AL8">
        <v>-2772</v>
      </c>
      <c r="AM8">
        <v>-659</v>
      </c>
      <c r="AN8">
        <v>-1485</v>
      </c>
      <c r="AO8">
        <v>-2346</v>
      </c>
      <c r="AP8">
        <v>-3316</v>
      </c>
      <c r="AQ8">
        <v>-1795</v>
      </c>
      <c r="AR8">
        <v>-4018</v>
      </c>
      <c r="AS8">
        <v>-1878</v>
      </c>
      <c r="AT8">
        <v>-3707</v>
      </c>
      <c r="AU8">
        <v>-1666</v>
      </c>
      <c r="AV8">
        <v>-3426</v>
      </c>
      <c r="AW8">
        <v>-1632</v>
      </c>
      <c r="AX8">
        <v>-3312</v>
      </c>
      <c r="AY8">
        <v>-1617</v>
      </c>
      <c r="AZ8">
        <v>-3243</v>
      </c>
      <c r="BA8">
        <v>-1463</v>
      </c>
      <c r="BB8">
        <v>-3030</v>
      </c>
      <c r="BC8">
        <v>-1458</v>
      </c>
      <c r="BD8">
        <v>-3033</v>
      </c>
      <c r="BE8">
        <v>-1622</v>
      </c>
      <c r="BF8">
        <v>-3733</v>
      </c>
      <c r="BG8">
        <v>-1940</v>
      </c>
      <c r="BH8">
        <v>-5033</v>
      </c>
      <c r="BI8">
        <v>-2279</v>
      </c>
      <c r="BJ8">
        <v>-4550</v>
      </c>
      <c r="BK8">
        <v>-2063</v>
      </c>
      <c r="BL8">
        <v>-4437</v>
      </c>
      <c r="BM8">
        <v>-1999</v>
      </c>
      <c r="BN8">
        <v>-4138</v>
      </c>
      <c r="BO8">
        <v>-2125</v>
      </c>
      <c r="BP8">
        <v>-4382</v>
      </c>
      <c r="BQ8">
        <v>-2153</v>
      </c>
      <c r="BR8">
        <v>-4554</v>
      </c>
    </row>
    <row r="9" spans="1:73" x14ac:dyDescent="0.3">
      <c r="A9" t="s">
        <v>33</v>
      </c>
      <c r="AA9">
        <v>1465</v>
      </c>
      <c r="AB9">
        <v>3158</v>
      </c>
      <c r="AC9">
        <v>4831</v>
      </c>
      <c r="AD9">
        <v>6563</v>
      </c>
      <c r="AE9">
        <v>1652</v>
      </c>
      <c r="AF9">
        <v>3372</v>
      </c>
      <c r="AG9">
        <v>5104</v>
      </c>
      <c r="AH9">
        <v>6912</v>
      </c>
      <c r="AI9">
        <v>1642</v>
      </c>
      <c r="AJ9">
        <v>3417</v>
      </c>
      <c r="AK9">
        <v>5288</v>
      </c>
      <c r="AL9">
        <v>7246</v>
      </c>
      <c r="AM9">
        <v>1882</v>
      </c>
      <c r="AN9">
        <v>3972</v>
      </c>
      <c r="AO9">
        <v>6358</v>
      </c>
      <c r="AP9">
        <v>8806</v>
      </c>
      <c r="AQ9">
        <v>4985</v>
      </c>
      <c r="AR9">
        <v>10190</v>
      </c>
      <c r="AS9">
        <v>5420</v>
      </c>
      <c r="AT9">
        <v>11176</v>
      </c>
      <c r="AU9">
        <v>5772</v>
      </c>
      <c r="AV9">
        <v>11973</v>
      </c>
      <c r="AW9">
        <v>5820</v>
      </c>
      <c r="AX9">
        <v>11878</v>
      </c>
      <c r="AY9">
        <v>5955</v>
      </c>
      <c r="AZ9">
        <v>12017</v>
      </c>
      <c r="BA9">
        <v>5335</v>
      </c>
      <c r="BB9">
        <v>10941</v>
      </c>
      <c r="BC9">
        <v>4940</v>
      </c>
      <c r="BD9">
        <v>10071</v>
      </c>
      <c r="BE9">
        <v>5047</v>
      </c>
      <c r="BF9">
        <v>10397</v>
      </c>
      <c r="BG9">
        <v>5478</v>
      </c>
      <c r="BH9">
        <v>14531</v>
      </c>
      <c r="BI9">
        <v>9357</v>
      </c>
      <c r="BJ9">
        <v>19942</v>
      </c>
      <c r="BK9">
        <v>10107</v>
      </c>
      <c r="BL9">
        <v>21440</v>
      </c>
      <c r="BM9">
        <v>10272</v>
      </c>
      <c r="BN9">
        <v>21638</v>
      </c>
      <c r="BO9">
        <v>10050</v>
      </c>
      <c r="BP9">
        <v>21302</v>
      </c>
      <c r="BQ9">
        <v>10716</v>
      </c>
      <c r="BR9">
        <v>23101</v>
      </c>
    </row>
    <row r="10" spans="1:73" x14ac:dyDescent="0.3">
      <c r="A10" t="s">
        <v>243</v>
      </c>
      <c r="B10">
        <v>-5131</v>
      </c>
      <c r="C10">
        <v>-5615</v>
      </c>
      <c r="D10">
        <v>-5307</v>
      </c>
      <c r="E10">
        <v>-5528</v>
      </c>
      <c r="F10">
        <v>-7156</v>
      </c>
      <c r="G10">
        <v>-4826</v>
      </c>
      <c r="H10">
        <v>-4518</v>
      </c>
      <c r="I10">
        <v>-6749</v>
      </c>
      <c r="J10">
        <v>-8356</v>
      </c>
      <c r="K10">
        <v>-2215</v>
      </c>
      <c r="L10">
        <v>-4600</v>
      </c>
      <c r="M10">
        <v>-6854</v>
      </c>
      <c r="N10">
        <v>-8758</v>
      </c>
      <c r="O10">
        <v>-4931</v>
      </c>
      <c r="P10">
        <v>-4401</v>
      </c>
      <c r="Q10">
        <v>-6640</v>
      </c>
      <c r="R10">
        <v>-8042</v>
      </c>
      <c r="S10">
        <v>-4544</v>
      </c>
      <c r="T10">
        <v>-4317</v>
      </c>
      <c r="U10">
        <v>-6817</v>
      </c>
      <c r="V10">
        <v>-7792</v>
      </c>
      <c r="W10">
        <v>-2026</v>
      </c>
      <c r="X10">
        <v>-4293</v>
      </c>
      <c r="Y10">
        <v>-6272</v>
      </c>
      <c r="Z10">
        <v>-8092</v>
      </c>
      <c r="AA10">
        <v>-883</v>
      </c>
      <c r="AB10">
        <v>-1973</v>
      </c>
      <c r="AC10">
        <v>-2998</v>
      </c>
      <c r="AD10">
        <v>-6881</v>
      </c>
      <c r="AE10">
        <v>-1021</v>
      </c>
      <c r="AF10">
        <v>-2031</v>
      </c>
      <c r="AG10">
        <v>-3144</v>
      </c>
      <c r="AH10">
        <v>-6756</v>
      </c>
      <c r="AI10">
        <v>-950</v>
      </c>
      <c r="AJ10">
        <v>-1936</v>
      </c>
      <c r="AK10">
        <v>-3040</v>
      </c>
      <c r="AL10">
        <v>-4341</v>
      </c>
      <c r="AM10">
        <v>-1065</v>
      </c>
      <c r="AN10">
        <v>-2215</v>
      </c>
      <c r="AO10">
        <v>-3783</v>
      </c>
      <c r="AP10">
        <v>-9010</v>
      </c>
      <c r="AQ10">
        <v>-2875</v>
      </c>
      <c r="AR10">
        <v>-9791</v>
      </c>
      <c r="AS10">
        <v>-3079</v>
      </c>
      <c r="AT10">
        <v>-10098</v>
      </c>
      <c r="AU10">
        <v>-3088</v>
      </c>
      <c r="AV10">
        <v>-7186</v>
      </c>
      <c r="AW10">
        <v>-3098</v>
      </c>
      <c r="AX10">
        <v>-6444</v>
      </c>
      <c r="AY10">
        <v>-3148</v>
      </c>
      <c r="AZ10">
        <v>-6446</v>
      </c>
      <c r="BA10">
        <v>-2877</v>
      </c>
      <c r="BB10">
        <v>-6288</v>
      </c>
      <c r="BC10">
        <v>-2593</v>
      </c>
      <c r="BD10">
        <v>-5504</v>
      </c>
      <c r="BE10">
        <v>-2834</v>
      </c>
      <c r="BF10">
        <v>-5419</v>
      </c>
      <c r="BG10">
        <v>-2904</v>
      </c>
      <c r="BH10">
        <v>-7795</v>
      </c>
      <c r="BI10">
        <v>-4919</v>
      </c>
      <c r="BJ10">
        <v>-10504.8</v>
      </c>
      <c r="BK10">
        <v>-5727</v>
      </c>
      <c r="BL10">
        <v>-11955</v>
      </c>
      <c r="BM10">
        <v>-5174</v>
      </c>
      <c r="BN10">
        <v>-7796</v>
      </c>
      <c r="BO10">
        <v>-5142</v>
      </c>
      <c r="BP10">
        <v>-7471</v>
      </c>
      <c r="BQ10">
        <v>-7037</v>
      </c>
      <c r="BR10">
        <v>-7822</v>
      </c>
    </row>
    <row r="11" spans="1:73" x14ac:dyDescent="0.3">
      <c r="A11" t="s">
        <v>244</v>
      </c>
      <c r="B11">
        <v>1640</v>
      </c>
      <c r="C11">
        <v>1626</v>
      </c>
      <c r="D11">
        <v>1845</v>
      </c>
      <c r="E11">
        <v>1592</v>
      </c>
      <c r="F11">
        <v>1916</v>
      </c>
      <c r="G11">
        <v>530</v>
      </c>
      <c r="H11">
        <v>1190</v>
      </c>
      <c r="I11">
        <v>1926</v>
      </c>
      <c r="J11" s="91">
        <v>2559</v>
      </c>
      <c r="K11" s="91">
        <v>628</v>
      </c>
      <c r="L11">
        <v>1258</v>
      </c>
      <c r="M11">
        <v>2082</v>
      </c>
      <c r="N11">
        <v>2613</v>
      </c>
      <c r="O11">
        <v>590</v>
      </c>
      <c r="P11">
        <v>1260</v>
      </c>
      <c r="Q11">
        <v>2061</v>
      </c>
      <c r="R11">
        <v>2558</v>
      </c>
      <c r="S11">
        <v>584</v>
      </c>
      <c r="T11">
        <v>1270</v>
      </c>
      <c r="U11">
        <v>1692</v>
      </c>
      <c r="V11">
        <v>2778</v>
      </c>
      <c r="W11">
        <v>609</v>
      </c>
      <c r="X11">
        <v>1246</v>
      </c>
      <c r="Y11">
        <v>1929</v>
      </c>
      <c r="Z11">
        <v>2676</v>
      </c>
      <c r="AA11">
        <v>582</v>
      </c>
      <c r="AB11">
        <v>1185</v>
      </c>
      <c r="AC11">
        <v>1833</v>
      </c>
      <c r="AD11">
        <v>-318</v>
      </c>
      <c r="AE11">
        <v>631</v>
      </c>
      <c r="AF11">
        <v>1341</v>
      </c>
      <c r="AG11">
        <v>1960</v>
      </c>
      <c r="AH11">
        <v>156</v>
      </c>
      <c r="AI11">
        <v>692</v>
      </c>
      <c r="AJ11">
        <v>1481</v>
      </c>
      <c r="AK11">
        <v>2248</v>
      </c>
      <c r="AL11">
        <v>2905</v>
      </c>
      <c r="AM11">
        <v>817</v>
      </c>
      <c r="AN11">
        <v>1757</v>
      </c>
      <c r="AO11">
        <v>2575</v>
      </c>
      <c r="AP11">
        <v>-204</v>
      </c>
      <c r="AQ11">
        <v>2110</v>
      </c>
      <c r="AR11">
        <v>399</v>
      </c>
      <c r="AS11">
        <v>2341</v>
      </c>
      <c r="AT11">
        <v>1078</v>
      </c>
      <c r="AU11">
        <v>2684</v>
      </c>
      <c r="AV11">
        <v>4787</v>
      </c>
      <c r="AW11">
        <v>2722</v>
      </c>
      <c r="AX11">
        <v>5434</v>
      </c>
      <c r="AY11">
        <v>2807</v>
      </c>
      <c r="AZ11">
        <v>5571</v>
      </c>
      <c r="BA11">
        <v>2458</v>
      </c>
      <c r="BB11">
        <v>4653</v>
      </c>
      <c r="BC11">
        <v>2347</v>
      </c>
      <c r="BD11">
        <v>4567</v>
      </c>
      <c r="BE11">
        <v>2213</v>
      </c>
      <c r="BF11">
        <v>4978</v>
      </c>
      <c r="BG11">
        <v>2574</v>
      </c>
      <c r="BH11">
        <v>6736</v>
      </c>
      <c r="BI11">
        <v>4438</v>
      </c>
      <c r="BJ11">
        <v>9437.2000000000007</v>
      </c>
      <c r="BK11">
        <v>4380</v>
      </c>
      <c r="BL11">
        <v>9485</v>
      </c>
      <c r="BM11">
        <v>5098</v>
      </c>
      <c r="BN11">
        <v>13842</v>
      </c>
      <c r="BO11">
        <v>4908</v>
      </c>
      <c r="BP11">
        <v>13831</v>
      </c>
      <c r="BQ11">
        <v>3679</v>
      </c>
      <c r="BR11">
        <v>15279</v>
      </c>
    </row>
    <row r="12" spans="1:73" x14ac:dyDescent="0.3">
      <c r="A12" t="s">
        <v>245</v>
      </c>
      <c r="B12">
        <v>-306</v>
      </c>
      <c r="C12">
        <v>-340</v>
      </c>
      <c r="D12">
        <v>-368</v>
      </c>
      <c r="E12">
        <v>-355</v>
      </c>
      <c r="F12">
        <v>-370</v>
      </c>
      <c r="G12">
        <v>-63</v>
      </c>
      <c r="H12">
        <v>-102</v>
      </c>
      <c r="I12">
        <v>-199</v>
      </c>
      <c r="J12" s="91">
        <v>-489</v>
      </c>
      <c r="K12" s="91">
        <v>-70</v>
      </c>
      <c r="L12">
        <v>-144</v>
      </c>
      <c r="M12">
        <v>-215</v>
      </c>
      <c r="N12">
        <v>-409</v>
      </c>
      <c r="O12">
        <v>-59</v>
      </c>
      <c r="P12">
        <v>-106</v>
      </c>
      <c r="Q12">
        <v>-137</v>
      </c>
      <c r="R12">
        <v>-333</v>
      </c>
      <c r="S12">
        <v>-51</v>
      </c>
      <c r="T12">
        <v>-97</v>
      </c>
      <c r="U12">
        <v>-156</v>
      </c>
      <c r="V12">
        <v>-335</v>
      </c>
      <c r="W12">
        <v>-54</v>
      </c>
      <c r="X12">
        <v>-139</v>
      </c>
      <c r="Y12">
        <v>-204</v>
      </c>
      <c r="Z12">
        <v>-256</v>
      </c>
      <c r="AA12">
        <v>-44</v>
      </c>
      <c r="AB12">
        <v>-129</v>
      </c>
      <c r="AC12">
        <v>-162</v>
      </c>
      <c r="AD12">
        <v>-268</v>
      </c>
      <c r="AE12">
        <v>-70</v>
      </c>
      <c r="AF12">
        <v>-140</v>
      </c>
      <c r="AG12">
        <v>-209</v>
      </c>
      <c r="AH12">
        <v>-292</v>
      </c>
      <c r="AI12">
        <v>-64</v>
      </c>
      <c r="AJ12">
        <v>-132</v>
      </c>
      <c r="AK12">
        <v>-206</v>
      </c>
      <c r="AL12">
        <v>-271</v>
      </c>
      <c r="AM12">
        <v>-79</v>
      </c>
      <c r="AN12">
        <v>-158</v>
      </c>
      <c r="AO12">
        <v>-265</v>
      </c>
      <c r="AP12">
        <v>-404</v>
      </c>
      <c r="AQ12">
        <v>-205</v>
      </c>
      <c r="AR12">
        <v>-519</v>
      </c>
      <c r="AS12">
        <v>-255</v>
      </c>
      <c r="AT12">
        <v>-525</v>
      </c>
      <c r="AU12">
        <v>-245</v>
      </c>
      <c r="AV12">
        <v>-488</v>
      </c>
      <c r="AW12">
        <v>-211</v>
      </c>
      <c r="AX12">
        <v>-499</v>
      </c>
      <c r="AY12">
        <v>-241</v>
      </c>
      <c r="AZ12">
        <v>-552</v>
      </c>
      <c r="BA12">
        <v>-208</v>
      </c>
      <c r="BB12">
        <v>-523</v>
      </c>
      <c r="BC12">
        <v>351</v>
      </c>
      <c r="BD12">
        <v>-615</v>
      </c>
      <c r="BE12">
        <v>-233</v>
      </c>
      <c r="BF12">
        <v>-607</v>
      </c>
      <c r="BG12">
        <v>-325</v>
      </c>
      <c r="BH12">
        <v>-1054</v>
      </c>
      <c r="BI12">
        <v>-701</v>
      </c>
      <c r="BJ12">
        <v>-1579</v>
      </c>
      <c r="BK12">
        <v>-773</v>
      </c>
      <c r="BL12">
        <v>-1714</v>
      </c>
      <c r="BM12">
        <v>-786</v>
      </c>
      <c r="BN12">
        <v>-1757</v>
      </c>
      <c r="BO12">
        <v>-756</v>
      </c>
      <c r="BP12">
        <v>-1489</v>
      </c>
      <c r="BQ12">
        <v>-817</v>
      </c>
      <c r="BR12">
        <v>-1592</v>
      </c>
    </row>
    <row r="13" spans="1:73" x14ac:dyDescent="0.3">
      <c r="A13" t="s">
        <v>286</v>
      </c>
      <c r="B13">
        <v>275</v>
      </c>
      <c r="C13">
        <v>287</v>
      </c>
      <c r="D13">
        <v>296</v>
      </c>
      <c r="E13">
        <v>312</v>
      </c>
      <c r="F13">
        <v>354</v>
      </c>
      <c r="G13">
        <v>-18</v>
      </c>
      <c r="H13">
        <v>-4</v>
      </c>
      <c r="I13">
        <v>25</v>
      </c>
      <c r="J13">
        <v>52</v>
      </c>
      <c r="K13" s="91">
        <v>24</v>
      </c>
      <c r="L13">
        <v>54</v>
      </c>
      <c r="M13">
        <v>83</v>
      </c>
      <c r="N13">
        <v>119</v>
      </c>
      <c r="O13">
        <v>26</v>
      </c>
      <c r="P13">
        <v>52</v>
      </c>
      <c r="Q13">
        <v>85</v>
      </c>
      <c r="R13">
        <v>117</v>
      </c>
      <c r="S13">
        <v>35</v>
      </c>
      <c r="T13">
        <v>67</v>
      </c>
      <c r="U13">
        <v>116</v>
      </c>
      <c r="V13">
        <v>71</v>
      </c>
      <c r="W13">
        <v>25</v>
      </c>
      <c r="X13">
        <v>52</v>
      </c>
      <c r="Y13">
        <v>97</v>
      </c>
      <c r="Z13">
        <v>126</v>
      </c>
      <c r="AA13">
        <v>88</v>
      </c>
      <c r="AB13">
        <v>215</v>
      </c>
      <c r="AC13">
        <v>277</v>
      </c>
      <c r="AD13">
        <v>392</v>
      </c>
      <c r="AE13">
        <v>104</v>
      </c>
      <c r="AF13">
        <v>226</v>
      </c>
      <c r="AG13">
        <v>331</v>
      </c>
      <c r="AH13">
        <v>431</v>
      </c>
      <c r="AI13">
        <v>111</v>
      </c>
      <c r="AJ13">
        <v>222</v>
      </c>
      <c r="AK13">
        <v>335</v>
      </c>
      <c r="AL13">
        <v>442</v>
      </c>
      <c r="AM13">
        <v>114</v>
      </c>
      <c r="AN13">
        <v>235</v>
      </c>
      <c r="AO13">
        <v>339</v>
      </c>
      <c r="AP13">
        <v>490</v>
      </c>
      <c r="AQ13">
        <v>279</v>
      </c>
      <c r="AR13">
        <v>557</v>
      </c>
      <c r="AS13">
        <v>306</v>
      </c>
      <c r="AT13">
        <v>621</v>
      </c>
      <c r="AU13">
        <v>320</v>
      </c>
      <c r="AV13">
        <v>670</v>
      </c>
      <c r="AW13">
        <v>336</v>
      </c>
      <c r="AX13">
        <v>676</v>
      </c>
      <c r="AY13">
        <v>425</v>
      </c>
      <c r="AZ13">
        <v>739</v>
      </c>
      <c r="BA13">
        <v>364</v>
      </c>
      <c r="BB13">
        <v>719</v>
      </c>
      <c r="BC13">
        <v>799</v>
      </c>
      <c r="BD13">
        <v>1236</v>
      </c>
      <c r="BE13">
        <v>1446</v>
      </c>
      <c r="BF13">
        <v>2227</v>
      </c>
      <c r="BG13">
        <v>778</v>
      </c>
      <c r="BH13">
        <v>24209</v>
      </c>
      <c r="BI13">
        <v>232</v>
      </c>
      <c r="BJ13">
        <v>419</v>
      </c>
      <c r="BK13">
        <v>258</v>
      </c>
      <c r="BL13">
        <v>498</v>
      </c>
      <c r="BM13">
        <v>281</v>
      </c>
      <c r="BN13">
        <v>455</v>
      </c>
      <c r="BO13">
        <v>233</v>
      </c>
      <c r="BP13">
        <v>415</v>
      </c>
      <c r="BQ13">
        <v>200</v>
      </c>
      <c r="BR13">
        <v>442</v>
      </c>
    </row>
    <row r="14" spans="1:73" x14ac:dyDescent="0.3">
      <c r="A14" t="s">
        <v>246</v>
      </c>
      <c r="B14">
        <v>130</v>
      </c>
      <c r="C14">
        <v>281</v>
      </c>
      <c r="D14">
        <v>-373</v>
      </c>
      <c r="E14">
        <v>-438</v>
      </c>
      <c r="F14">
        <v>-260</v>
      </c>
      <c r="G14">
        <v>-202</v>
      </c>
      <c r="H14">
        <v>-268</v>
      </c>
      <c r="I14">
        <v>-266</v>
      </c>
      <c r="J14" s="91">
        <v>-561</v>
      </c>
      <c r="K14" s="91">
        <v>37</v>
      </c>
      <c r="L14">
        <v>-27</v>
      </c>
      <c r="M14">
        <v>-29</v>
      </c>
      <c r="N14">
        <v>-301</v>
      </c>
      <c r="O14">
        <v>-87</v>
      </c>
      <c r="P14">
        <v>-24</v>
      </c>
      <c r="Q14">
        <v>-48</v>
      </c>
      <c r="R14">
        <v>-235</v>
      </c>
      <c r="S14">
        <v>-119</v>
      </c>
      <c r="T14">
        <v>-308</v>
      </c>
      <c r="U14">
        <v>-93</v>
      </c>
      <c r="V14">
        <v>-879</v>
      </c>
      <c r="W14">
        <v>-1</v>
      </c>
      <c r="X14">
        <v>-6</v>
      </c>
      <c r="Y14">
        <v>1342</v>
      </c>
      <c r="Z14">
        <v>1084</v>
      </c>
      <c r="AA14">
        <v>-176</v>
      </c>
      <c r="AB14">
        <v>-355</v>
      </c>
      <c r="AC14">
        <v>-486</v>
      </c>
      <c r="AD14">
        <v>-242</v>
      </c>
      <c r="AE14">
        <v>-205</v>
      </c>
      <c r="AF14">
        <v>-435</v>
      </c>
      <c r="AG14">
        <v>-661</v>
      </c>
      <c r="AH14">
        <v>-172</v>
      </c>
      <c r="AI14">
        <v>-224</v>
      </c>
      <c r="AJ14">
        <v>-427</v>
      </c>
      <c r="AK14">
        <v>-612</v>
      </c>
      <c r="AL14">
        <v>-74</v>
      </c>
      <c r="AM14">
        <v>-209</v>
      </c>
      <c r="AN14">
        <v>-466</v>
      </c>
      <c r="AO14">
        <v>-497</v>
      </c>
      <c r="AP14">
        <v>-61</v>
      </c>
      <c r="AQ14">
        <v>-619</v>
      </c>
      <c r="AR14">
        <v>-318</v>
      </c>
      <c r="AS14">
        <v>-725</v>
      </c>
      <c r="AT14">
        <v>-674</v>
      </c>
      <c r="AU14">
        <v>-612</v>
      </c>
      <c r="AV14">
        <v>-38</v>
      </c>
      <c r="AX14">
        <v>-19</v>
      </c>
      <c r="AZ14">
        <v>41</v>
      </c>
      <c r="BB14">
        <v>-1</v>
      </c>
      <c r="BD14">
        <v>667</v>
      </c>
      <c r="BF14">
        <v>-353</v>
      </c>
      <c r="BH14">
        <v>-364</v>
      </c>
      <c r="BJ14">
        <v>73</v>
      </c>
      <c r="BL14">
        <v>-357</v>
      </c>
      <c r="BM14">
        <v>-1</v>
      </c>
      <c r="BN14">
        <v>-476</v>
      </c>
      <c r="BO14">
        <v>-1</v>
      </c>
      <c r="BP14">
        <v>-644</v>
      </c>
      <c r="BQ14">
        <v>-1</v>
      </c>
      <c r="BR14">
        <v>-854</v>
      </c>
    </row>
    <row r="15" spans="1:73" x14ac:dyDescent="0.3">
      <c r="A15" t="s">
        <v>135</v>
      </c>
      <c r="B15">
        <v>1460</v>
      </c>
      <c r="C15">
        <v>1626</v>
      </c>
      <c r="D15">
        <v>875</v>
      </c>
      <c r="E15">
        <v>738</v>
      </c>
      <c r="F15">
        <v>1371</v>
      </c>
      <c r="G15">
        <v>193</v>
      </c>
      <c r="H15">
        <v>706</v>
      </c>
      <c r="I15">
        <v>1247</v>
      </c>
      <c r="J15" s="91">
        <v>1522</v>
      </c>
      <c r="K15" s="91">
        <v>519</v>
      </c>
      <c r="L15">
        <v>934</v>
      </c>
      <c r="M15">
        <v>1611</v>
      </c>
      <c r="N15">
        <v>2065</v>
      </c>
      <c r="O15">
        <v>463</v>
      </c>
      <c r="P15">
        <v>1018</v>
      </c>
      <c r="Q15">
        <v>1724</v>
      </c>
      <c r="R15">
        <v>2113</v>
      </c>
      <c r="S15">
        <v>468</v>
      </c>
      <c r="T15">
        <v>762</v>
      </c>
      <c r="U15">
        <v>1287</v>
      </c>
      <c r="V15">
        <v>1567</v>
      </c>
      <c r="W15">
        <v>575</v>
      </c>
      <c r="X15">
        <v>1159</v>
      </c>
      <c r="Y15">
        <v>3214</v>
      </c>
      <c r="Z15">
        <v>3630</v>
      </c>
      <c r="AA15">
        <v>626</v>
      </c>
      <c r="AB15">
        <v>1346</v>
      </c>
      <c r="AC15">
        <v>2016</v>
      </c>
      <c r="AD15">
        <v>2584</v>
      </c>
      <c r="AE15">
        <v>668</v>
      </c>
      <c r="AF15">
        <v>1444</v>
      </c>
      <c r="AG15">
        <v>2083</v>
      </c>
      <c r="AH15">
        <v>2764</v>
      </c>
      <c r="AI15">
        <v>737</v>
      </c>
      <c r="AJ15">
        <v>1588</v>
      </c>
      <c r="AK15">
        <v>2435</v>
      </c>
      <c r="AL15">
        <v>3077</v>
      </c>
      <c r="AM15">
        <v>871</v>
      </c>
      <c r="AN15">
        <v>1838</v>
      </c>
      <c r="AO15">
        <v>2830</v>
      </c>
      <c r="AP15">
        <v>3684</v>
      </c>
      <c r="AQ15">
        <v>2123</v>
      </c>
      <c r="AR15">
        <v>4080</v>
      </c>
      <c r="AS15">
        <v>2279</v>
      </c>
      <c r="AT15">
        <v>4388</v>
      </c>
      <c r="AU15">
        <v>2787</v>
      </c>
      <c r="AV15">
        <v>4931</v>
      </c>
      <c r="AW15">
        <v>2847</v>
      </c>
      <c r="AX15">
        <v>5592</v>
      </c>
      <c r="AY15">
        <v>2991</v>
      </c>
      <c r="AZ15">
        <v>5799</v>
      </c>
      <c r="BA15">
        <v>2614</v>
      </c>
      <c r="BB15">
        <v>4848</v>
      </c>
      <c r="BC15">
        <v>3497</v>
      </c>
      <c r="BD15">
        <v>5855</v>
      </c>
      <c r="BE15">
        <v>3426</v>
      </c>
      <c r="BF15">
        <v>6245</v>
      </c>
      <c r="BG15">
        <v>3027</v>
      </c>
      <c r="BH15">
        <v>29527</v>
      </c>
      <c r="BI15">
        <v>3969</v>
      </c>
      <c r="BJ15">
        <v>8351</v>
      </c>
      <c r="BK15">
        <v>3865</v>
      </c>
      <c r="BL15">
        <v>7912</v>
      </c>
      <c r="BM15">
        <v>4592</v>
      </c>
      <c r="BN15">
        <v>8672</v>
      </c>
      <c r="BO15">
        <v>4384</v>
      </c>
      <c r="BP15">
        <v>9163</v>
      </c>
      <c r="BQ15">
        <v>3061</v>
      </c>
      <c r="BR15">
        <v>9324</v>
      </c>
    </row>
    <row r="16" spans="1:73" x14ac:dyDescent="0.3">
      <c r="A16" t="s">
        <v>247</v>
      </c>
      <c r="B16">
        <v>-490</v>
      </c>
      <c r="C16">
        <v>-520</v>
      </c>
      <c r="D16">
        <v>-357</v>
      </c>
      <c r="E16">
        <v>-277</v>
      </c>
      <c r="F16">
        <v>-673</v>
      </c>
      <c r="G16">
        <v>-104</v>
      </c>
      <c r="H16">
        <v>-300</v>
      </c>
      <c r="I16">
        <v>-536</v>
      </c>
      <c r="J16">
        <v>-660</v>
      </c>
      <c r="K16">
        <v>-193</v>
      </c>
      <c r="L16">
        <v>-403</v>
      </c>
      <c r="M16">
        <v>-652</v>
      </c>
      <c r="N16">
        <v>-886</v>
      </c>
      <c r="O16">
        <v>-202</v>
      </c>
      <c r="P16">
        <v>-430</v>
      </c>
      <c r="Q16">
        <v>-669</v>
      </c>
      <c r="R16">
        <v>-818</v>
      </c>
      <c r="S16">
        <v>-195</v>
      </c>
      <c r="T16">
        <v>-399</v>
      </c>
      <c r="U16">
        <v>-627</v>
      </c>
      <c r="V16">
        <v>-779</v>
      </c>
      <c r="W16">
        <v>-197</v>
      </c>
      <c r="X16">
        <v>-385</v>
      </c>
      <c r="Y16">
        <v>-580</v>
      </c>
      <c r="Z16">
        <v>-673</v>
      </c>
      <c r="AA16">
        <v>-166</v>
      </c>
      <c r="AB16">
        <v>-353</v>
      </c>
      <c r="AC16">
        <v>-547</v>
      </c>
      <c r="AD16">
        <v>-690</v>
      </c>
      <c r="AE16">
        <v>-178</v>
      </c>
      <c r="AF16">
        <v>-366</v>
      </c>
      <c r="AG16">
        <v>-518</v>
      </c>
      <c r="AH16">
        <v>-716</v>
      </c>
      <c r="AI16">
        <v>-199</v>
      </c>
      <c r="AJ16">
        <v>-420</v>
      </c>
      <c r="AK16">
        <v>-629</v>
      </c>
      <c r="AL16">
        <v>-790</v>
      </c>
      <c r="AM16">
        <v>-224</v>
      </c>
      <c r="AN16">
        <v>-494</v>
      </c>
      <c r="AO16">
        <v>-775</v>
      </c>
      <c r="AP16">
        <v>-1025</v>
      </c>
      <c r="AQ16">
        <v>-534</v>
      </c>
      <c r="AR16">
        <v>-1124</v>
      </c>
      <c r="AS16">
        <v>-624</v>
      </c>
      <c r="AT16">
        <v>-1248</v>
      </c>
      <c r="AU16">
        <v>-781</v>
      </c>
      <c r="AV16">
        <v>-1556</v>
      </c>
      <c r="AW16">
        <v>-782</v>
      </c>
      <c r="AX16">
        <v>-1516</v>
      </c>
      <c r="AY16">
        <v>-803</v>
      </c>
      <c r="AZ16">
        <v>-1600</v>
      </c>
      <c r="BA16">
        <v>-728</v>
      </c>
      <c r="BB16">
        <v>-1455</v>
      </c>
      <c r="BC16">
        <v>-713</v>
      </c>
      <c r="BD16">
        <v>-1333</v>
      </c>
      <c r="BE16">
        <v>-685</v>
      </c>
      <c r="BF16">
        <v>-1406</v>
      </c>
      <c r="BG16">
        <v>-680</v>
      </c>
      <c r="BH16">
        <v>-8129</v>
      </c>
      <c r="BI16">
        <v>-1193</v>
      </c>
      <c r="BJ16">
        <v>-2141</v>
      </c>
      <c r="BK16">
        <v>-971</v>
      </c>
      <c r="BL16">
        <v>-2063</v>
      </c>
      <c r="BM16">
        <v>-1054</v>
      </c>
      <c r="BN16">
        <v>-2108</v>
      </c>
      <c r="BO16">
        <v>-1055</v>
      </c>
      <c r="BP16">
        <v>-2189</v>
      </c>
      <c r="BQ16">
        <v>-1123</v>
      </c>
      <c r="BR16">
        <v>-2478</v>
      </c>
    </row>
    <row r="17" spans="1:73" x14ac:dyDescent="0.3">
      <c r="A17" t="s">
        <v>136</v>
      </c>
      <c r="B17">
        <v>970</v>
      </c>
      <c r="C17">
        <v>1106</v>
      </c>
      <c r="D17">
        <v>518</v>
      </c>
      <c r="E17">
        <v>461</v>
      </c>
      <c r="F17">
        <v>698</v>
      </c>
      <c r="G17">
        <v>89</v>
      </c>
      <c r="H17">
        <v>406</v>
      </c>
      <c r="I17">
        <v>711</v>
      </c>
      <c r="J17">
        <v>862</v>
      </c>
      <c r="K17">
        <v>326</v>
      </c>
      <c r="L17">
        <v>531</v>
      </c>
      <c r="M17">
        <v>959</v>
      </c>
      <c r="N17">
        <v>1179</v>
      </c>
      <c r="O17">
        <v>261</v>
      </c>
      <c r="P17">
        <v>588</v>
      </c>
      <c r="Q17">
        <v>1055</v>
      </c>
      <c r="R17">
        <v>1295</v>
      </c>
      <c r="S17">
        <v>273</v>
      </c>
      <c r="T17">
        <v>363</v>
      </c>
      <c r="U17">
        <v>660</v>
      </c>
      <c r="V17">
        <v>788</v>
      </c>
      <c r="W17">
        <v>378</v>
      </c>
      <c r="X17">
        <v>774</v>
      </c>
      <c r="Y17">
        <v>2634</v>
      </c>
      <c r="Z17">
        <v>2957</v>
      </c>
      <c r="AA17">
        <v>460</v>
      </c>
      <c r="AB17">
        <v>993</v>
      </c>
      <c r="AC17">
        <v>1469</v>
      </c>
      <c r="AD17">
        <v>1894</v>
      </c>
      <c r="AE17">
        <v>490</v>
      </c>
      <c r="AF17">
        <v>1078</v>
      </c>
      <c r="AG17">
        <v>1565</v>
      </c>
      <c r="AH17">
        <v>2048</v>
      </c>
      <c r="AI17">
        <v>538</v>
      </c>
      <c r="AJ17">
        <v>1168</v>
      </c>
      <c r="AK17">
        <v>1806</v>
      </c>
      <c r="AL17">
        <v>2287</v>
      </c>
      <c r="AM17">
        <v>647</v>
      </c>
      <c r="AN17">
        <v>1344</v>
      </c>
      <c r="AO17">
        <v>2055</v>
      </c>
      <c r="AP17">
        <v>2659</v>
      </c>
      <c r="AQ17">
        <v>1589</v>
      </c>
      <c r="AR17">
        <v>2956</v>
      </c>
      <c r="AS17">
        <v>1655</v>
      </c>
      <c r="AT17">
        <v>3140</v>
      </c>
      <c r="AU17">
        <v>2006</v>
      </c>
      <c r="AV17">
        <v>3375</v>
      </c>
      <c r="AW17">
        <v>2065</v>
      </c>
      <c r="AX17">
        <v>4076</v>
      </c>
      <c r="AY17">
        <v>2188</v>
      </c>
      <c r="AZ17">
        <v>4199</v>
      </c>
      <c r="BA17">
        <v>1886</v>
      </c>
      <c r="BB17">
        <v>3393</v>
      </c>
      <c r="BC17">
        <v>2784</v>
      </c>
      <c r="BD17">
        <v>4522</v>
      </c>
      <c r="BE17">
        <v>2741</v>
      </c>
      <c r="BF17">
        <v>4839</v>
      </c>
      <c r="BG17">
        <v>2347</v>
      </c>
      <c r="BH17">
        <v>37656</v>
      </c>
      <c r="BI17">
        <v>2776</v>
      </c>
      <c r="BJ17">
        <v>6210</v>
      </c>
      <c r="BK17">
        <v>2894</v>
      </c>
      <c r="BL17">
        <v>5849</v>
      </c>
      <c r="BM17">
        <v>3538</v>
      </c>
      <c r="BN17">
        <v>6564</v>
      </c>
      <c r="BO17">
        <v>3329</v>
      </c>
      <c r="BP17">
        <v>6974</v>
      </c>
      <c r="BQ17">
        <v>1938</v>
      </c>
      <c r="BR17">
        <v>6846</v>
      </c>
    </row>
    <row r="18" spans="1:73" x14ac:dyDescent="0.3">
      <c r="A18" t="s">
        <v>227</v>
      </c>
      <c r="B18">
        <v>-110</v>
      </c>
      <c r="C18">
        <v>-118</v>
      </c>
      <c r="D18">
        <v>-106</v>
      </c>
      <c r="E18">
        <v>-115</v>
      </c>
      <c r="F18">
        <v>-142</v>
      </c>
      <c r="G18">
        <v>-42</v>
      </c>
      <c r="H18">
        <v>-89</v>
      </c>
      <c r="I18">
        <v>-129</v>
      </c>
      <c r="J18">
        <v>-170</v>
      </c>
      <c r="K18">
        <v>-45</v>
      </c>
      <c r="L18">
        <v>-89</v>
      </c>
      <c r="M18">
        <v>-132</v>
      </c>
      <c r="N18">
        <v>-169</v>
      </c>
      <c r="O18">
        <v>-34</v>
      </c>
      <c r="P18">
        <v>-74</v>
      </c>
      <c r="Q18">
        <v>-112</v>
      </c>
      <c r="R18">
        <v>-143</v>
      </c>
      <c r="S18">
        <v>-37</v>
      </c>
      <c r="T18">
        <v>-79</v>
      </c>
      <c r="U18">
        <v>-118</v>
      </c>
      <c r="V18">
        <v>-157</v>
      </c>
      <c r="W18">
        <v>-34</v>
      </c>
      <c r="X18">
        <v>-70</v>
      </c>
      <c r="Y18">
        <v>-108</v>
      </c>
      <c r="Z18">
        <v>-130</v>
      </c>
      <c r="AA18">
        <v>-30</v>
      </c>
      <c r="AB18">
        <v>-62</v>
      </c>
      <c r="AC18">
        <v>-96</v>
      </c>
      <c r="AD18">
        <v>-127</v>
      </c>
      <c r="AE18">
        <v>-38</v>
      </c>
      <c r="AF18">
        <v>-77</v>
      </c>
      <c r="AG18">
        <v>-118</v>
      </c>
      <c r="AH18">
        <v>-152</v>
      </c>
      <c r="AI18">
        <v>-43</v>
      </c>
      <c r="AJ18">
        <v>-89</v>
      </c>
      <c r="AK18">
        <v>-127</v>
      </c>
      <c r="AL18">
        <v>-157</v>
      </c>
      <c r="AM18">
        <v>-48</v>
      </c>
      <c r="AN18">
        <v>-95</v>
      </c>
      <c r="AO18">
        <v>-149</v>
      </c>
      <c r="AP18">
        <v>-202</v>
      </c>
      <c r="AQ18">
        <v>-139</v>
      </c>
      <c r="AR18">
        <v>-243</v>
      </c>
      <c r="AS18">
        <v>-130</v>
      </c>
      <c r="AT18">
        <v>-261</v>
      </c>
      <c r="AU18">
        <v>-136</v>
      </c>
      <c r="AV18">
        <v>-280</v>
      </c>
      <c r="AW18">
        <v>-157</v>
      </c>
      <c r="AX18">
        <v>-279</v>
      </c>
      <c r="AY18">
        <v>-148</v>
      </c>
      <c r="AZ18">
        <v>-295</v>
      </c>
      <c r="BA18">
        <v>-139</v>
      </c>
      <c r="BB18">
        <v>-278</v>
      </c>
      <c r="BC18">
        <v>-139</v>
      </c>
      <c r="BD18">
        <v>-232</v>
      </c>
      <c r="BE18">
        <v>-70</v>
      </c>
      <c r="BF18">
        <v>-191</v>
      </c>
      <c r="BG18">
        <v>-86</v>
      </c>
      <c r="BH18">
        <v>-171</v>
      </c>
      <c r="BI18">
        <v>-86</v>
      </c>
      <c r="BJ18">
        <v>-178</v>
      </c>
      <c r="BK18">
        <v>-80</v>
      </c>
      <c r="BL18">
        <v>-145</v>
      </c>
      <c r="BM18">
        <v>-81</v>
      </c>
      <c r="BN18">
        <v>-164</v>
      </c>
      <c r="BO18">
        <v>-79</v>
      </c>
      <c r="BP18">
        <v>-173</v>
      </c>
      <c r="BQ18">
        <v>-79</v>
      </c>
      <c r="BR18">
        <v>-180</v>
      </c>
    </row>
    <row r="19" spans="1:73" x14ac:dyDescent="0.3">
      <c r="A19" t="s">
        <v>248</v>
      </c>
    </row>
    <row r="20" spans="1:73" x14ac:dyDescent="0.3">
      <c r="A20" t="s">
        <v>249</v>
      </c>
    </row>
    <row r="21" spans="1:73" x14ac:dyDescent="0.3">
      <c r="A21" t="s">
        <v>250</v>
      </c>
      <c r="B21">
        <v>860</v>
      </c>
      <c r="C21">
        <v>988</v>
      </c>
      <c r="D21">
        <v>412</v>
      </c>
      <c r="E21">
        <v>346</v>
      </c>
      <c r="F21">
        <v>556</v>
      </c>
      <c r="G21">
        <v>47</v>
      </c>
      <c r="H21">
        <v>317</v>
      </c>
      <c r="I21">
        <v>582</v>
      </c>
      <c r="J21">
        <v>692</v>
      </c>
      <c r="K21">
        <v>281</v>
      </c>
      <c r="L21">
        <v>442</v>
      </c>
      <c r="M21">
        <v>827</v>
      </c>
      <c r="N21">
        <v>1010</v>
      </c>
      <c r="O21">
        <v>227</v>
      </c>
      <c r="P21">
        <v>514</v>
      </c>
      <c r="Q21">
        <v>943</v>
      </c>
      <c r="R21">
        <v>1152</v>
      </c>
      <c r="S21">
        <v>236</v>
      </c>
      <c r="T21">
        <v>284</v>
      </c>
      <c r="U21">
        <v>542</v>
      </c>
      <c r="V21">
        <v>631</v>
      </c>
      <c r="W21">
        <v>344</v>
      </c>
      <c r="X21">
        <v>704</v>
      </c>
      <c r="Y21">
        <v>2526</v>
      </c>
      <c r="Z21">
        <v>2827</v>
      </c>
      <c r="AA21">
        <v>430</v>
      </c>
      <c r="AB21">
        <v>931</v>
      </c>
      <c r="AC21">
        <v>1373</v>
      </c>
      <c r="AD21">
        <v>1767</v>
      </c>
      <c r="AE21">
        <v>452</v>
      </c>
      <c r="AF21">
        <v>1001</v>
      </c>
      <c r="AG21">
        <v>1447</v>
      </c>
      <c r="AH21">
        <v>1896</v>
      </c>
      <c r="AI21">
        <v>495</v>
      </c>
      <c r="AJ21">
        <v>1079</v>
      </c>
      <c r="AK21">
        <v>1679</v>
      </c>
      <c r="AL21">
        <v>2130</v>
      </c>
      <c r="AM21">
        <v>599</v>
      </c>
      <c r="AN21">
        <v>1249</v>
      </c>
      <c r="AO21">
        <v>1906</v>
      </c>
      <c r="AP21">
        <v>2457</v>
      </c>
      <c r="AQ21">
        <v>1450</v>
      </c>
      <c r="AR21">
        <v>2713</v>
      </c>
      <c r="AS21">
        <v>1525</v>
      </c>
      <c r="AT21">
        <v>2879</v>
      </c>
      <c r="AU21">
        <v>1870</v>
      </c>
      <c r="AV21">
        <v>3095</v>
      </c>
      <c r="AW21">
        <v>1908</v>
      </c>
      <c r="AX21">
        <v>3797</v>
      </c>
      <c r="AY21">
        <v>2040</v>
      </c>
      <c r="AZ21">
        <v>3904</v>
      </c>
      <c r="BA21">
        <v>1747</v>
      </c>
      <c r="BB21">
        <v>3115</v>
      </c>
      <c r="BC21">
        <v>2645</v>
      </c>
      <c r="BD21">
        <v>4290</v>
      </c>
      <c r="BE21">
        <v>2671</v>
      </c>
      <c r="BF21">
        <v>4648</v>
      </c>
      <c r="BG21">
        <v>2261</v>
      </c>
      <c r="BH21">
        <v>37485</v>
      </c>
      <c r="BI21">
        <v>2690</v>
      </c>
      <c r="BJ21">
        <v>6032</v>
      </c>
      <c r="BK21">
        <v>2814</v>
      </c>
      <c r="BL21">
        <v>5704</v>
      </c>
      <c r="BM21">
        <v>3457</v>
      </c>
      <c r="BN21">
        <v>6400</v>
      </c>
      <c r="BO21">
        <v>3250</v>
      </c>
      <c r="BP21">
        <v>6789</v>
      </c>
      <c r="BQ21">
        <v>1836</v>
      </c>
      <c r="BR21">
        <v>6617</v>
      </c>
    </row>
    <row r="22" spans="1:73" x14ac:dyDescent="0.3">
      <c r="A22" t="s">
        <v>251</v>
      </c>
    </row>
    <row r="23" spans="1:73" x14ac:dyDescent="0.3">
      <c r="A23" t="s">
        <v>35</v>
      </c>
      <c r="B23">
        <v>1987</v>
      </c>
      <c r="C23">
        <v>2197</v>
      </c>
      <c r="D23">
        <v>1482</v>
      </c>
      <c r="E23">
        <v>1390</v>
      </c>
      <c r="F23">
        <v>2091</v>
      </c>
      <c r="G23">
        <v>256</v>
      </c>
      <c r="H23">
        <v>1167</v>
      </c>
      <c r="I23">
        <v>1446</v>
      </c>
      <c r="J23">
        <v>2412</v>
      </c>
      <c r="K23">
        <v>589</v>
      </c>
      <c r="L23">
        <v>1440</v>
      </c>
      <c r="M23">
        <v>1826</v>
      </c>
      <c r="N23">
        <v>2870</v>
      </c>
      <c r="O23">
        <v>522</v>
      </c>
      <c r="P23">
        <v>1470</v>
      </c>
      <c r="Q23">
        <v>1861</v>
      </c>
      <c r="R23">
        <v>2784</v>
      </c>
      <c r="S23">
        <v>519</v>
      </c>
      <c r="T23">
        <v>1347</v>
      </c>
      <c r="U23">
        <v>1440</v>
      </c>
      <c r="V23">
        <v>2379</v>
      </c>
      <c r="W23">
        <v>709</v>
      </c>
      <c r="X23">
        <v>1463</v>
      </c>
      <c r="Y23">
        <v>3654</v>
      </c>
      <c r="Z23">
        <v>4376</v>
      </c>
      <c r="AA23">
        <v>764</v>
      </c>
      <c r="AB23">
        <v>1718</v>
      </c>
      <c r="AC23">
        <v>2525</v>
      </c>
      <c r="AD23">
        <v>3340</v>
      </c>
      <c r="AE23">
        <v>876</v>
      </c>
      <c r="AF23">
        <v>1838</v>
      </c>
      <c r="AG23">
        <v>2674</v>
      </c>
      <c r="AH23">
        <v>3527</v>
      </c>
      <c r="AI23">
        <v>904</v>
      </c>
      <c r="AJ23">
        <v>1929</v>
      </c>
      <c r="AK23">
        <v>2944</v>
      </c>
      <c r="AL23">
        <v>3795</v>
      </c>
      <c r="AM23">
        <v>1060</v>
      </c>
      <c r="AN23">
        <v>2236</v>
      </c>
      <c r="AO23">
        <v>3466</v>
      </c>
      <c r="AP23">
        <v>4644</v>
      </c>
      <c r="AQ23">
        <v>2694</v>
      </c>
      <c r="AR23">
        <v>5186</v>
      </c>
      <c r="AS23">
        <v>2919</v>
      </c>
      <c r="AT23">
        <v>5475</v>
      </c>
      <c r="AU23">
        <v>3365</v>
      </c>
      <c r="AV23">
        <v>6315</v>
      </c>
      <c r="AW23">
        <v>3341</v>
      </c>
      <c r="AX23">
        <v>6647</v>
      </c>
      <c r="AY23">
        <v>3496</v>
      </c>
      <c r="AZ23">
        <v>6890</v>
      </c>
      <c r="BA23">
        <v>3096</v>
      </c>
      <c r="BB23">
        <v>5959</v>
      </c>
      <c r="BC23">
        <v>3976</v>
      </c>
      <c r="BD23">
        <v>6864</v>
      </c>
      <c r="BE23">
        <v>3939</v>
      </c>
      <c r="BF23">
        <v>7522</v>
      </c>
      <c r="BG23">
        <v>3754</v>
      </c>
      <c r="BH23">
        <v>31553</v>
      </c>
      <c r="BI23">
        <v>5169</v>
      </c>
      <c r="BJ23">
        <v>11023</v>
      </c>
      <c r="BK23">
        <v>5192</v>
      </c>
      <c r="BL23">
        <v>11212</v>
      </c>
      <c r="BM23">
        <v>5947</v>
      </c>
      <c r="BN23">
        <v>11697</v>
      </c>
      <c r="BO23">
        <v>5628</v>
      </c>
      <c r="BP23">
        <v>11673</v>
      </c>
      <c r="BQ23">
        <v>4565</v>
      </c>
      <c r="BR23">
        <v>12292</v>
      </c>
    </row>
    <row r="24" spans="1:73" x14ac:dyDescent="0.3">
      <c r="A24" t="s">
        <v>47</v>
      </c>
      <c r="B24">
        <v>-221</v>
      </c>
      <c r="C24">
        <v>-231</v>
      </c>
      <c r="D24">
        <v>-239</v>
      </c>
      <c r="E24">
        <v>-297</v>
      </c>
      <c r="F24">
        <v>-350</v>
      </c>
      <c r="H24">
        <v>-359</v>
      </c>
      <c r="J24">
        <v>-401</v>
      </c>
      <c r="L24">
        <v>-362</v>
      </c>
      <c r="N24">
        <v>-396</v>
      </c>
      <c r="P24">
        <v>-346</v>
      </c>
      <c r="R24">
        <v>-338</v>
      </c>
      <c r="T24">
        <v>-488</v>
      </c>
      <c r="V24">
        <v>-477</v>
      </c>
      <c r="W24">
        <v>-80</v>
      </c>
      <c r="X24">
        <v>-150</v>
      </c>
      <c r="Y24">
        <v>-236</v>
      </c>
      <c r="Z24">
        <v>-375</v>
      </c>
      <c r="AA24">
        <v>-74</v>
      </c>
      <c r="AB24">
        <v>-189</v>
      </c>
      <c r="AC24">
        <v>-267</v>
      </c>
      <c r="AD24">
        <v>-325</v>
      </c>
      <c r="AE24">
        <v>-106</v>
      </c>
      <c r="AF24">
        <v>-191</v>
      </c>
      <c r="AG24">
        <v>-299</v>
      </c>
      <c r="AH24">
        <v>-353</v>
      </c>
      <c r="AI24">
        <v>-74</v>
      </c>
      <c r="AJ24">
        <v>-156</v>
      </c>
      <c r="AK24">
        <v>-232</v>
      </c>
      <c r="AL24">
        <v>-318</v>
      </c>
      <c r="AM24">
        <v>-83</v>
      </c>
      <c r="AN24">
        <v>-174</v>
      </c>
      <c r="AO24">
        <v>-277</v>
      </c>
      <c r="AP24">
        <v>-420</v>
      </c>
      <c r="AQ24">
        <v>-285</v>
      </c>
      <c r="AR24">
        <v>-504</v>
      </c>
      <c r="AS24">
        <v>-323</v>
      </c>
      <c r="AT24">
        <v>-504</v>
      </c>
      <c r="AU24">
        <v>-262</v>
      </c>
      <c r="AV24">
        <v>-817</v>
      </c>
      <c r="AW24">
        <v>-246</v>
      </c>
      <c r="AX24">
        <v>-475</v>
      </c>
      <c r="AY24">
        <v>-253</v>
      </c>
      <c r="AZ24">
        <v>-477</v>
      </c>
      <c r="BA24">
        <v>-234</v>
      </c>
      <c r="BB24">
        <v>-523</v>
      </c>
      <c r="BC24">
        <v>-197</v>
      </c>
      <c r="BD24">
        <v>-428</v>
      </c>
      <c r="BE24">
        <v>-253</v>
      </c>
      <c r="BF24">
        <v>-607</v>
      </c>
      <c r="BG24">
        <v>-346</v>
      </c>
      <c r="BH24">
        <v>-902</v>
      </c>
      <c r="BI24">
        <v>-437</v>
      </c>
      <c r="BJ24">
        <v>-1038</v>
      </c>
      <c r="BK24">
        <v>-521</v>
      </c>
      <c r="BL24">
        <v>-1512</v>
      </c>
      <c r="BM24">
        <v>-533</v>
      </c>
      <c r="BN24">
        <v>-1241</v>
      </c>
      <c r="BO24">
        <v>-473</v>
      </c>
      <c r="BP24">
        <v>-992</v>
      </c>
      <c r="BQ24">
        <v>-659</v>
      </c>
      <c r="BR24">
        <v>-1291</v>
      </c>
    </row>
    <row r="25" spans="1:73" x14ac:dyDescent="0.3">
      <c r="A25" t="s">
        <v>37</v>
      </c>
      <c r="B25">
        <v>1766</v>
      </c>
      <c r="C25">
        <v>1966</v>
      </c>
      <c r="D25">
        <v>1243</v>
      </c>
      <c r="E25">
        <v>1093</v>
      </c>
      <c r="F25">
        <v>1741</v>
      </c>
      <c r="G25">
        <v>256</v>
      </c>
      <c r="H25">
        <v>808</v>
      </c>
      <c r="I25">
        <v>1446</v>
      </c>
      <c r="J25">
        <v>2011</v>
      </c>
      <c r="K25">
        <v>589</v>
      </c>
      <c r="L25">
        <v>1078</v>
      </c>
      <c r="M25">
        <v>1826</v>
      </c>
      <c r="N25">
        <v>2474</v>
      </c>
      <c r="O25">
        <v>522</v>
      </c>
      <c r="P25">
        <v>1124</v>
      </c>
      <c r="Q25">
        <v>1861</v>
      </c>
      <c r="R25">
        <v>2446</v>
      </c>
      <c r="S25">
        <v>519</v>
      </c>
      <c r="T25">
        <v>859</v>
      </c>
      <c r="U25">
        <v>1440</v>
      </c>
      <c r="V25">
        <v>1902</v>
      </c>
      <c r="W25">
        <v>629</v>
      </c>
      <c r="X25">
        <v>1298</v>
      </c>
      <c r="Y25">
        <v>3418</v>
      </c>
      <c r="Z25">
        <v>4001</v>
      </c>
      <c r="AA25">
        <v>690</v>
      </c>
      <c r="AB25">
        <v>1529</v>
      </c>
      <c r="AC25">
        <v>2258</v>
      </c>
      <c r="AD25">
        <v>2957</v>
      </c>
      <c r="AE25">
        <v>770</v>
      </c>
      <c r="AF25">
        <v>1647</v>
      </c>
      <c r="AG25">
        <v>2375</v>
      </c>
      <c r="AH25">
        <v>3174</v>
      </c>
      <c r="AI25">
        <v>830</v>
      </c>
      <c r="AJ25">
        <v>1773</v>
      </c>
      <c r="AK25">
        <v>2712</v>
      </c>
      <c r="AL25">
        <v>3459</v>
      </c>
      <c r="AM25">
        <v>977</v>
      </c>
      <c r="AN25">
        <v>2062</v>
      </c>
      <c r="AO25">
        <v>3189</v>
      </c>
      <c r="AP25">
        <v>4219</v>
      </c>
      <c r="AQ25">
        <v>2383</v>
      </c>
      <c r="AR25">
        <v>4682</v>
      </c>
      <c r="AS25">
        <v>2565</v>
      </c>
      <c r="AT25">
        <v>4971</v>
      </c>
      <c r="AU25">
        <v>3074</v>
      </c>
      <c r="AV25">
        <v>5498</v>
      </c>
      <c r="AW25">
        <v>3095</v>
      </c>
      <c r="AX25">
        <v>6172</v>
      </c>
      <c r="AY25">
        <v>3243</v>
      </c>
      <c r="AZ25">
        <v>6413</v>
      </c>
      <c r="BA25">
        <v>2862</v>
      </c>
      <c r="BB25">
        <v>5436</v>
      </c>
      <c r="BC25">
        <v>3779</v>
      </c>
      <c r="BD25">
        <v>6436</v>
      </c>
      <c r="BE25">
        <v>3686</v>
      </c>
      <c r="BF25">
        <v>6915</v>
      </c>
      <c r="BG25">
        <v>3408</v>
      </c>
      <c r="BH25">
        <v>30651</v>
      </c>
      <c r="BI25">
        <v>4732</v>
      </c>
      <c r="BJ25">
        <v>9985</v>
      </c>
      <c r="BK25">
        <v>4671</v>
      </c>
      <c r="BL25">
        <v>9700</v>
      </c>
      <c r="BM25">
        <v>5414</v>
      </c>
      <c r="BN25">
        <v>10456</v>
      </c>
      <c r="BO25">
        <v>5155</v>
      </c>
      <c r="BP25">
        <v>10654</v>
      </c>
      <c r="BQ25">
        <v>3906</v>
      </c>
      <c r="BR25">
        <v>10987</v>
      </c>
    </row>
    <row r="26" spans="1:73" x14ac:dyDescent="0.3">
      <c r="A26" t="s">
        <v>43</v>
      </c>
      <c r="B26">
        <v>-306</v>
      </c>
      <c r="C26">
        <v>-340</v>
      </c>
      <c r="D26">
        <v>-368</v>
      </c>
      <c r="E26">
        <v>-355</v>
      </c>
      <c r="F26">
        <v>-370</v>
      </c>
      <c r="G26">
        <v>-63</v>
      </c>
      <c r="H26">
        <v>-102</v>
      </c>
      <c r="I26">
        <v>-199</v>
      </c>
      <c r="J26">
        <v>-489</v>
      </c>
      <c r="K26">
        <v>-70</v>
      </c>
      <c r="L26">
        <v>-144</v>
      </c>
      <c r="M26">
        <v>-215</v>
      </c>
      <c r="N26">
        <v>-409</v>
      </c>
      <c r="O26">
        <v>-59</v>
      </c>
      <c r="P26">
        <v>-106</v>
      </c>
      <c r="Q26">
        <v>-137</v>
      </c>
      <c r="R26">
        <v>-333</v>
      </c>
      <c r="S26">
        <v>-51</v>
      </c>
      <c r="T26">
        <v>-97</v>
      </c>
      <c r="U26">
        <v>-153</v>
      </c>
      <c r="V26">
        <v>-335</v>
      </c>
      <c r="W26">
        <v>-54</v>
      </c>
      <c r="X26">
        <v>-139</v>
      </c>
      <c r="Y26">
        <v>-204</v>
      </c>
      <c r="Z26">
        <v>-371</v>
      </c>
      <c r="AA26">
        <v>-64</v>
      </c>
      <c r="AB26">
        <v>-183</v>
      </c>
      <c r="AC26">
        <v>-242</v>
      </c>
      <c r="AD26">
        <v>-373</v>
      </c>
      <c r="AE26">
        <v>-102</v>
      </c>
      <c r="AF26">
        <v>-203</v>
      </c>
      <c r="AG26">
        <v>-292</v>
      </c>
      <c r="AH26">
        <v>-410</v>
      </c>
      <c r="AI26">
        <v>-93</v>
      </c>
      <c r="AJ26">
        <v>-185</v>
      </c>
      <c r="AK26">
        <v>-277</v>
      </c>
      <c r="AL26">
        <v>-382</v>
      </c>
      <c r="AM26">
        <v>-106</v>
      </c>
      <c r="AN26">
        <v>-224</v>
      </c>
      <c r="AO26">
        <v>-359</v>
      </c>
      <c r="AP26">
        <v>-535</v>
      </c>
      <c r="AQ26">
        <v>-260</v>
      </c>
      <c r="AR26">
        <v>-602</v>
      </c>
      <c r="AS26">
        <v>-286</v>
      </c>
      <c r="AT26">
        <v>-583</v>
      </c>
      <c r="AU26">
        <v>-287</v>
      </c>
      <c r="AV26">
        <v>-567</v>
      </c>
      <c r="AW26">
        <v>-248</v>
      </c>
      <c r="AX26">
        <v>-580</v>
      </c>
      <c r="AY26">
        <v>-252</v>
      </c>
      <c r="AZ26">
        <v>-614</v>
      </c>
      <c r="BA26">
        <v>-248</v>
      </c>
      <c r="BB26">
        <v>-588</v>
      </c>
      <c r="BC26">
        <v>-282</v>
      </c>
      <c r="BD26">
        <v>-581</v>
      </c>
      <c r="BE26">
        <v>-260</v>
      </c>
      <c r="BF26">
        <v>-670</v>
      </c>
      <c r="BG26">
        <v>-381</v>
      </c>
      <c r="BH26">
        <v>-1124</v>
      </c>
      <c r="BI26">
        <v>-763</v>
      </c>
      <c r="BJ26">
        <v>-1634</v>
      </c>
      <c r="BK26">
        <v>-806</v>
      </c>
      <c r="BL26">
        <v>-1788</v>
      </c>
      <c r="BM26">
        <v>-822</v>
      </c>
      <c r="BN26">
        <v>-1784</v>
      </c>
      <c r="BO26">
        <v>-771</v>
      </c>
      <c r="BP26">
        <v>-1491</v>
      </c>
      <c r="BQ26">
        <v>-845</v>
      </c>
      <c r="BR26">
        <v>-1663</v>
      </c>
    </row>
    <row r="27" spans="1:73" x14ac:dyDescent="0.3">
      <c r="A27" t="s">
        <v>135</v>
      </c>
      <c r="B27">
        <v>1460</v>
      </c>
      <c r="C27">
        <v>1626</v>
      </c>
      <c r="D27">
        <v>875</v>
      </c>
      <c r="E27">
        <v>738</v>
      </c>
      <c r="F27">
        <v>1371</v>
      </c>
      <c r="G27">
        <v>193</v>
      </c>
      <c r="H27">
        <v>706</v>
      </c>
      <c r="I27">
        <v>1247</v>
      </c>
      <c r="J27">
        <v>1522</v>
      </c>
      <c r="K27">
        <v>519</v>
      </c>
      <c r="L27">
        <v>934</v>
      </c>
      <c r="M27">
        <v>1611</v>
      </c>
      <c r="N27">
        <v>2065</v>
      </c>
      <c r="O27">
        <v>463</v>
      </c>
      <c r="P27">
        <v>1018</v>
      </c>
      <c r="Q27">
        <v>1724</v>
      </c>
      <c r="R27">
        <v>2113</v>
      </c>
      <c r="S27">
        <v>468</v>
      </c>
      <c r="T27">
        <v>762</v>
      </c>
      <c r="U27">
        <v>1287</v>
      </c>
      <c r="V27">
        <v>1567</v>
      </c>
      <c r="W27">
        <v>575</v>
      </c>
      <c r="X27">
        <v>1159</v>
      </c>
      <c r="Y27">
        <v>3214</v>
      </c>
      <c r="Z27">
        <v>3630</v>
      </c>
      <c r="AA27">
        <v>626</v>
      </c>
      <c r="AB27">
        <v>1346</v>
      </c>
      <c r="AC27">
        <v>2016</v>
      </c>
      <c r="AD27">
        <v>2584</v>
      </c>
      <c r="AE27">
        <v>668</v>
      </c>
      <c r="AF27">
        <v>1444</v>
      </c>
      <c r="AG27">
        <v>2083</v>
      </c>
      <c r="AH27">
        <v>2764</v>
      </c>
      <c r="AI27">
        <v>737</v>
      </c>
      <c r="AJ27">
        <v>1588</v>
      </c>
      <c r="AK27">
        <v>2435</v>
      </c>
      <c r="AL27">
        <v>3077</v>
      </c>
      <c r="AM27">
        <v>871</v>
      </c>
      <c r="AN27">
        <v>1838</v>
      </c>
      <c r="AO27">
        <v>2830</v>
      </c>
      <c r="AP27">
        <v>3684</v>
      </c>
      <c r="AQ27">
        <v>2123</v>
      </c>
      <c r="AR27">
        <v>4080</v>
      </c>
      <c r="AS27">
        <v>2279</v>
      </c>
      <c r="AT27">
        <v>4388</v>
      </c>
      <c r="AU27">
        <v>2787</v>
      </c>
      <c r="AV27">
        <v>4931</v>
      </c>
      <c r="AW27">
        <v>2847</v>
      </c>
      <c r="AX27">
        <v>5592</v>
      </c>
      <c r="AY27">
        <v>2991</v>
      </c>
      <c r="AZ27">
        <v>5799</v>
      </c>
      <c r="BA27">
        <v>2614</v>
      </c>
      <c r="BB27">
        <v>4848</v>
      </c>
      <c r="BC27">
        <v>3497</v>
      </c>
      <c r="BD27">
        <v>5855</v>
      </c>
      <c r="BE27">
        <v>3426</v>
      </c>
      <c r="BF27">
        <v>6245</v>
      </c>
      <c r="BG27">
        <v>3027</v>
      </c>
      <c r="BH27">
        <v>29527</v>
      </c>
      <c r="BI27">
        <v>3969</v>
      </c>
      <c r="BJ27">
        <v>8351</v>
      </c>
      <c r="BK27">
        <v>3865</v>
      </c>
      <c r="BL27">
        <v>7912</v>
      </c>
      <c r="BM27">
        <v>4592</v>
      </c>
      <c r="BN27">
        <v>8672</v>
      </c>
      <c r="BO27">
        <v>4384</v>
      </c>
      <c r="BP27">
        <v>9163</v>
      </c>
      <c r="BQ27">
        <v>3061</v>
      </c>
      <c r="BR27">
        <v>9324</v>
      </c>
    </row>
    <row r="28" spans="1:73" x14ac:dyDescent="0.3">
      <c r="A28" t="s">
        <v>252</v>
      </c>
    </row>
    <row r="29" spans="1:73" x14ac:dyDescent="0.3">
      <c r="A29" t="s">
        <v>253</v>
      </c>
    </row>
    <row r="30" spans="1:73" x14ac:dyDescent="0.3">
      <c r="A30" t="s">
        <v>184</v>
      </c>
    </row>
    <row r="31" spans="1:73" x14ac:dyDescent="0.3">
      <c r="A31" t="s">
        <v>254</v>
      </c>
      <c r="B31">
        <v>2400</v>
      </c>
      <c r="C31">
        <v>2600</v>
      </c>
      <c r="D31">
        <v>2600</v>
      </c>
      <c r="E31">
        <v>24</v>
      </c>
      <c r="F31">
        <v>22.2</v>
      </c>
      <c r="H31">
        <v>9</v>
      </c>
      <c r="I31">
        <v>9</v>
      </c>
      <c r="J31">
        <v>29</v>
      </c>
      <c r="L31">
        <v>9.6999999999999993</v>
      </c>
      <c r="M31">
        <v>9.6999999999999993</v>
      </c>
      <c r="N31">
        <v>32</v>
      </c>
      <c r="P31">
        <v>10.7</v>
      </c>
      <c r="Q31">
        <v>10.7</v>
      </c>
      <c r="R31">
        <v>35.200000000000003</v>
      </c>
      <c r="T31">
        <v>11.8</v>
      </c>
      <c r="U31">
        <v>11.8</v>
      </c>
      <c r="V31">
        <v>38.799999999999997</v>
      </c>
      <c r="X31">
        <v>12.7</v>
      </c>
      <c r="Y31">
        <v>12.7</v>
      </c>
      <c r="Z31">
        <v>41.9</v>
      </c>
      <c r="AB31">
        <v>14</v>
      </c>
      <c r="AC31">
        <v>14</v>
      </c>
      <c r="AD31">
        <v>47</v>
      </c>
      <c r="AF31">
        <v>15.7</v>
      </c>
      <c r="AG31">
        <v>15.7</v>
      </c>
      <c r="AH31">
        <v>55.9</v>
      </c>
      <c r="AJ31">
        <v>18.600000000000001</v>
      </c>
      <c r="AK31">
        <v>18.600000000000001</v>
      </c>
      <c r="AL31">
        <v>66.2</v>
      </c>
      <c r="AN31">
        <v>22.1</v>
      </c>
      <c r="AO31">
        <v>22.1</v>
      </c>
      <c r="AP31">
        <v>83.7</v>
      </c>
      <c r="AQ31">
        <v>27.9</v>
      </c>
      <c r="AR31">
        <v>99.5</v>
      </c>
      <c r="AS31">
        <v>33.200000000000003</v>
      </c>
      <c r="AT31">
        <v>114.2</v>
      </c>
      <c r="AU31">
        <v>38.1</v>
      </c>
      <c r="AV31">
        <v>126.5</v>
      </c>
      <c r="AW31">
        <v>42.2</v>
      </c>
      <c r="AX31">
        <v>134.9</v>
      </c>
      <c r="AY31">
        <v>45</v>
      </c>
      <c r="AZ31">
        <v>142.4</v>
      </c>
      <c r="BA31">
        <v>47.5</v>
      </c>
      <c r="BB31">
        <v>148.1</v>
      </c>
      <c r="BC31">
        <v>49.4</v>
      </c>
      <c r="BD31">
        <v>154</v>
      </c>
      <c r="BE31">
        <v>51.3</v>
      </c>
      <c r="BF31">
        <v>169.4</v>
      </c>
      <c r="BG31">
        <v>56.5</v>
      </c>
      <c r="BH31">
        <v>100.1</v>
      </c>
      <c r="BI31">
        <v>97.6</v>
      </c>
      <c r="BJ31">
        <v>195.2</v>
      </c>
      <c r="BK31">
        <v>101.5</v>
      </c>
      <c r="BL31">
        <v>203</v>
      </c>
      <c r="BM31">
        <v>105.2</v>
      </c>
      <c r="BN31">
        <v>210.4</v>
      </c>
      <c r="BO31">
        <v>107.8</v>
      </c>
      <c r="BP31">
        <v>215.6</v>
      </c>
      <c r="BQ31">
        <v>108.9</v>
      </c>
      <c r="BR31">
        <v>217.8</v>
      </c>
      <c r="BS31">
        <v>241.8</v>
      </c>
      <c r="BT31">
        <v>255.3</v>
      </c>
      <c r="BU31">
        <v>273.89999999999998</v>
      </c>
    </row>
    <row r="32" spans="1:73" x14ac:dyDescent="0.3">
      <c r="A32" t="s">
        <v>255</v>
      </c>
      <c r="B32">
        <v>2400</v>
      </c>
      <c r="C32">
        <v>2600</v>
      </c>
      <c r="D32">
        <v>2600</v>
      </c>
      <c r="E32">
        <v>24</v>
      </c>
      <c r="F32">
        <v>22.2</v>
      </c>
      <c r="H32">
        <v>9</v>
      </c>
      <c r="I32">
        <v>9</v>
      </c>
      <c r="J32">
        <v>29</v>
      </c>
      <c r="L32">
        <v>9.6999999999999993</v>
      </c>
      <c r="M32">
        <v>9.6999999999999993</v>
      </c>
      <c r="N32">
        <v>32</v>
      </c>
      <c r="P32">
        <v>10.7</v>
      </c>
      <c r="Q32">
        <v>10.7</v>
      </c>
      <c r="R32">
        <v>35.200000000000003</v>
      </c>
      <c r="T32">
        <v>11.8</v>
      </c>
      <c r="U32">
        <v>11.8</v>
      </c>
      <c r="V32">
        <v>38.799999999999997</v>
      </c>
      <c r="X32">
        <v>12.7</v>
      </c>
      <c r="Y32">
        <v>12.7</v>
      </c>
      <c r="Z32">
        <v>41.9</v>
      </c>
      <c r="AB32">
        <v>14</v>
      </c>
      <c r="AC32">
        <v>14</v>
      </c>
      <c r="AD32">
        <v>47</v>
      </c>
      <c r="AF32">
        <v>15.7</v>
      </c>
      <c r="AG32">
        <v>15.7</v>
      </c>
      <c r="AH32">
        <v>55.9</v>
      </c>
      <c r="AJ32">
        <v>18.600000000000001</v>
      </c>
      <c r="AK32">
        <v>18.600000000000001</v>
      </c>
      <c r="AL32">
        <v>66.2</v>
      </c>
      <c r="AN32">
        <v>22.1</v>
      </c>
      <c r="AO32">
        <v>22.1</v>
      </c>
      <c r="AP32">
        <v>83.7</v>
      </c>
      <c r="AQ32">
        <v>27.9</v>
      </c>
      <c r="AR32">
        <v>99.5</v>
      </c>
      <c r="AS32">
        <v>33.200000000000003</v>
      </c>
      <c r="AT32">
        <v>114.2</v>
      </c>
      <c r="AU32">
        <v>38.1</v>
      </c>
      <c r="AV32">
        <v>126.5</v>
      </c>
      <c r="AW32">
        <v>42.2</v>
      </c>
      <c r="AX32">
        <v>134.9</v>
      </c>
      <c r="AY32">
        <v>45</v>
      </c>
      <c r="AZ32">
        <v>142.4</v>
      </c>
      <c r="BA32">
        <v>47.5</v>
      </c>
      <c r="BB32">
        <v>148.1</v>
      </c>
      <c r="BC32">
        <v>49.4</v>
      </c>
      <c r="BD32">
        <v>154</v>
      </c>
      <c r="BE32">
        <v>51.3</v>
      </c>
      <c r="BF32">
        <v>169.4</v>
      </c>
      <c r="BG32">
        <v>56.5</v>
      </c>
      <c r="BH32">
        <v>100.1</v>
      </c>
      <c r="BI32">
        <v>97.6</v>
      </c>
      <c r="BJ32">
        <v>195.2</v>
      </c>
      <c r="BK32">
        <v>101.5</v>
      </c>
      <c r="BL32">
        <v>203</v>
      </c>
      <c r="BM32">
        <v>105.2</v>
      </c>
      <c r="BN32">
        <v>210.4</v>
      </c>
      <c r="BO32">
        <v>107.8</v>
      </c>
      <c r="BP32">
        <v>215.6</v>
      </c>
      <c r="BQ32">
        <v>108.9</v>
      </c>
      <c r="BR32">
        <v>217.8</v>
      </c>
    </row>
    <row r="33" spans="1:73" x14ac:dyDescent="0.3">
      <c r="A33" t="s">
        <v>256</v>
      </c>
      <c r="B33">
        <v>55.5</v>
      </c>
      <c r="C33">
        <v>63.7</v>
      </c>
      <c r="D33">
        <v>26.3</v>
      </c>
      <c r="E33">
        <v>22</v>
      </c>
      <c r="F33">
        <v>25.3</v>
      </c>
      <c r="G33">
        <v>3.2</v>
      </c>
      <c r="H33">
        <v>13.6</v>
      </c>
      <c r="I33">
        <v>24.3</v>
      </c>
      <c r="J33">
        <v>29.5</v>
      </c>
      <c r="K33">
        <v>10.5</v>
      </c>
      <c r="L33">
        <v>19.600000000000001</v>
      </c>
      <c r="M33">
        <v>33.299999999999997</v>
      </c>
      <c r="N33">
        <v>44</v>
      </c>
      <c r="O33">
        <v>9.9</v>
      </c>
      <c r="P33">
        <v>22.3</v>
      </c>
      <c r="Q33">
        <v>38.6</v>
      </c>
      <c r="R33">
        <v>50.1</v>
      </c>
      <c r="S33">
        <v>10.3</v>
      </c>
      <c r="T33">
        <v>12.2</v>
      </c>
      <c r="U33">
        <v>24.3</v>
      </c>
      <c r="V33">
        <v>26.7</v>
      </c>
      <c r="W33">
        <v>15.8</v>
      </c>
      <c r="X33">
        <v>32.5</v>
      </c>
      <c r="Y33">
        <v>42.5</v>
      </c>
      <c r="Z33">
        <v>131.1</v>
      </c>
      <c r="AA33">
        <v>20.2</v>
      </c>
      <c r="AB33">
        <v>43.8</v>
      </c>
      <c r="AC33">
        <v>64.8</v>
      </c>
      <c r="AD33">
        <v>83.7</v>
      </c>
      <c r="AE33">
        <v>21.6</v>
      </c>
      <c r="AF33">
        <v>48</v>
      </c>
      <c r="AG33">
        <v>69.599999999999994</v>
      </c>
      <c r="AH33">
        <v>91.3</v>
      </c>
      <c r="AI33">
        <v>24.1</v>
      </c>
      <c r="AJ33">
        <v>52.6</v>
      </c>
      <c r="AK33">
        <v>82.1</v>
      </c>
      <c r="AL33">
        <v>104.5</v>
      </c>
      <c r="AM33">
        <v>29.7</v>
      </c>
      <c r="AN33">
        <v>62.1</v>
      </c>
      <c r="AO33">
        <v>94.9</v>
      </c>
      <c r="AP33">
        <v>122.5</v>
      </c>
      <c r="AQ33">
        <v>72.8</v>
      </c>
      <c r="AR33">
        <v>136.30000000000001</v>
      </c>
      <c r="AS33">
        <v>76.5</v>
      </c>
      <c r="AT33">
        <v>144.4</v>
      </c>
      <c r="AU33">
        <v>94</v>
      </c>
      <c r="AV33">
        <v>156.19999999999999</v>
      </c>
      <c r="AW33">
        <v>97.3</v>
      </c>
      <c r="AX33">
        <v>194.8</v>
      </c>
      <c r="AY33">
        <v>106.1</v>
      </c>
      <c r="AZ33">
        <v>204.6</v>
      </c>
      <c r="BA33">
        <v>93.1</v>
      </c>
      <c r="BB33">
        <v>166.6</v>
      </c>
      <c r="BC33">
        <v>142.1</v>
      </c>
      <c r="BD33">
        <v>230.3</v>
      </c>
      <c r="BE33">
        <v>143.4</v>
      </c>
      <c r="BF33">
        <v>249.2</v>
      </c>
      <c r="BG33">
        <v>121.4</v>
      </c>
      <c r="BH33">
        <v>1827.6</v>
      </c>
      <c r="BI33">
        <v>117.4</v>
      </c>
      <c r="BJ33">
        <v>263.2</v>
      </c>
      <c r="BK33">
        <v>122.8</v>
      </c>
      <c r="BL33">
        <v>249</v>
      </c>
      <c r="BM33">
        <v>150.69999999999999</v>
      </c>
      <c r="BN33">
        <v>278.89999999999998</v>
      </c>
      <c r="BO33">
        <v>141.6</v>
      </c>
      <c r="BP33">
        <v>295.60000000000002</v>
      </c>
      <c r="BQ33">
        <v>80.8</v>
      </c>
      <c r="BR33">
        <v>291.89999999999998</v>
      </c>
    </row>
    <row r="34" spans="1:73" x14ac:dyDescent="0.3">
      <c r="A34" t="s">
        <v>257</v>
      </c>
    </row>
    <row r="35" spans="1:73" x14ac:dyDescent="0.3">
      <c r="A35" t="s">
        <v>258</v>
      </c>
      <c r="B35">
        <v>55.5</v>
      </c>
      <c r="C35">
        <v>63.7</v>
      </c>
      <c r="D35">
        <v>26.3</v>
      </c>
      <c r="E35">
        <v>22</v>
      </c>
      <c r="F35">
        <v>25.3</v>
      </c>
      <c r="G35">
        <v>3.2</v>
      </c>
      <c r="H35">
        <v>13.6</v>
      </c>
      <c r="I35">
        <v>24.3</v>
      </c>
      <c r="J35">
        <v>29.5</v>
      </c>
      <c r="K35">
        <v>10.5</v>
      </c>
      <c r="L35">
        <v>19.600000000000001</v>
      </c>
      <c r="M35">
        <v>33.299999999999997</v>
      </c>
      <c r="N35">
        <v>44</v>
      </c>
      <c r="O35">
        <v>9.9</v>
      </c>
      <c r="P35">
        <v>22.3</v>
      </c>
      <c r="Q35">
        <v>38.6</v>
      </c>
      <c r="R35">
        <v>50.1</v>
      </c>
      <c r="S35">
        <v>10.3</v>
      </c>
      <c r="T35">
        <v>12.2</v>
      </c>
      <c r="U35">
        <v>24.3</v>
      </c>
      <c r="V35">
        <v>26.7</v>
      </c>
      <c r="W35">
        <v>15.8</v>
      </c>
      <c r="X35">
        <v>32.5</v>
      </c>
      <c r="Y35">
        <v>42.5</v>
      </c>
      <c r="Z35">
        <v>131.1</v>
      </c>
      <c r="AA35">
        <v>20.2</v>
      </c>
      <c r="AB35">
        <v>43.8</v>
      </c>
      <c r="AC35">
        <v>64.8</v>
      </c>
      <c r="AD35">
        <v>83.7</v>
      </c>
      <c r="AE35">
        <v>21.6</v>
      </c>
      <c r="AF35">
        <v>48</v>
      </c>
      <c r="AG35">
        <v>69.599999999999994</v>
      </c>
      <c r="AH35">
        <v>91.3</v>
      </c>
      <c r="AI35">
        <v>24.1</v>
      </c>
      <c r="AJ35">
        <v>52.6</v>
      </c>
      <c r="AK35">
        <v>82.1</v>
      </c>
      <c r="AL35">
        <v>104.5</v>
      </c>
      <c r="AM35">
        <v>29.7</v>
      </c>
      <c r="AN35">
        <v>62.1</v>
      </c>
      <c r="AO35">
        <v>94.9</v>
      </c>
      <c r="AP35">
        <v>122.5</v>
      </c>
      <c r="AQ35">
        <v>72.8</v>
      </c>
      <c r="AR35">
        <v>136.30000000000001</v>
      </c>
      <c r="AS35">
        <v>76.5</v>
      </c>
      <c r="AT35">
        <v>144.4</v>
      </c>
      <c r="AU35">
        <v>94</v>
      </c>
      <c r="AV35">
        <v>156.19999999999999</v>
      </c>
      <c r="AW35">
        <v>97.3</v>
      </c>
      <c r="AX35">
        <v>194.8</v>
      </c>
      <c r="AY35">
        <v>106.1</v>
      </c>
      <c r="AZ35">
        <v>204.6</v>
      </c>
      <c r="BA35">
        <v>93.1</v>
      </c>
      <c r="BB35">
        <v>166.6</v>
      </c>
      <c r="BC35">
        <v>142.1</v>
      </c>
      <c r="BD35">
        <v>230.3</v>
      </c>
      <c r="BE35">
        <v>143.4</v>
      </c>
      <c r="BF35">
        <v>249.2</v>
      </c>
      <c r="BG35">
        <v>121.4</v>
      </c>
      <c r="BH35">
        <v>1827.6</v>
      </c>
      <c r="BI35">
        <v>117.4</v>
      </c>
      <c r="BJ35">
        <v>263.2</v>
      </c>
      <c r="BK35">
        <v>122.8</v>
      </c>
      <c r="BL35">
        <v>249</v>
      </c>
      <c r="BM35">
        <v>150.69999999999999</v>
      </c>
      <c r="BN35">
        <v>278.89999999999998</v>
      </c>
      <c r="BO35">
        <v>141.6</v>
      </c>
      <c r="BP35">
        <v>295.60000000000002</v>
      </c>
      <c r="BQ35">
        <v>80.8</v>
      </c>
      <c r="BR35">
        <v>291.89999999999998</v>
      </c>
    </row>
    <row r="36" spans="1:73" x14ac:dyDescent="0.3">
      <c r="A36" t="s">
        <v>259</v>
      </c>
      <c r="B36">
        <v>55.2</v>
      </c>
      <c r="C36">
        <v>59.8</v>
      </c>
      <c r="D36">
        <v>47.1</v>
      </c>
      <c r="E36">
        <v>45.1</v>
      </c>
      <c r="F36">
        <v>38</v>
      </c>
      <c r="G36">
        <v>5.9</v>
      </c>
      <c r="H36">
        <v>15.5</v>
      </c>
      <c r="I36">
        <v>25.4</v>
      </c>
      <c r="J36">
        <v>49.4</v>
      </c>
      <c r="K36">
        <v>7.9</v>
      </c>
      <c r="L36">
        <v>17.2</v>
      </c>
      <c r="M36">
        <v>29.3</v>
      </c>
      <c r="N36">
        <v>55.4</v>
      </c>
      <c r="O36">
        <v>8.1999999999999993</v>
      </c>
      <c r="P36">
        <v>19.100000000000001</v>
      </c>
      <c r="Q36">
        <v>33.6</v>
      </c>
      <c r="R36">
        <v>60.2</v>
      </c>
      <c r="S36">
        <v>8.6</v>
      </c>
      <c r="T36">
        <v>15.9</v>
      </c>
      <c r="U36">
        <v>17</v>
      </c>
      <c r="V36">
        <v>53.5</v>
      </c>
      <c r="W36">
        <v>15.9</v>
      </c>
      <c r="X36">
        <v>33.799999999999997</v>
      </c>
      <c r="Y36">
        <v>-8</v>
      </c>
      <c r="Z36">
        <v>90.1</v>
      </c>
      <c r="AA36">
        <v>20.2</v>
      </c>
      <c r="AB36">
        <v>46.7</v>
      </c>
      <c r="AC36">
        <v>62.5</v>
      </c>
      <c r="AD36">
        <v>101.1</v>
      </c>
      <c r="AE36">
        <v>20.7</v>
      </c>
      <c r="AF36">
        <v>42.9</v>
      </c>
      <c r="AG36">
        <v>69.5</v>
      </c>
      <c r="AH36">
        <v>90</v>
      </c>
      <c r="AI36">
        <v>25</v>
      </c>
      <c r="AJ36">
        <v>53.5</v>
      </c>
      <c r="AK36">
        <v>82.8</v>
      </c>
      <c r="AL36">
        <v>113.1</v>
      </c>
      <c r="AM36">
        <v>32.1</v>
      </c>
      <c r="AN36">
        <v>66.900000000000006</v>
      </c>
      <c r="AO36">
        <v>95.4</v>
      </c>
      <c r="AP36">
        <v>146.19999999999999</v>
      </c>
      <c r="AQ36">
        <v>67.099999999999994</v>
      </c>
      <c r="AR36">
        <v>147.9</v>
      </c>
      <c r="AS36">
        <v>83.4</v>
      </c>
      <c r="AT36">
        <v>175.5</v>
      </c>
      <c r="AU36">
        <v>96.6</v>
      </c>
      <c r="AV36">
        <v>157.5</v>
      </c>
      <c r="AW36">
        <v>97.3</v>
      </c>
      <c r="AX36">
        <v>192.6</v>
      </c>
      <c r="AY36">
        <v>106.1</v>
      </c>
      <c r="AZ36">
        <v>202</v>
      </c>
      <c r="BA36">
        <v>93.1</v>
      </c>
      <c r="BB36">
        <v>164.6</v>
      </c>
      <c r="BC36">
        <v>142.1</v>
      </c>
      <c r="BD36">
        <v>195.2</v>
      </c>
      <c r="BE36">
        <v>143.4</v>
      </c>
      <c r="BF36">
        <v>247.1</v>
      </c>
      <c r="BG36">
        <v>121.4</v>
      </c>
      <c r="BH36">
        <v>1839.7</v>
      </c>
      <c r="BI36">
        <v>117.4</v>
      </c>
      <c r="BJ36">
        <v>261.3</v>
      </c>
      <c r="BK36">
        <v>122.8</v>
      </c>
      <c r="BL36">
        <v>266.8</v>
      </c>
      <c r="BM36">
        <v>150.69999999999999</v>
      </c>
      <c r="BN36">
        <v>279.7</v>
      </c>
      <c r="BO36">
        <v>141.6</v>
      </c>
      <c r="BP36">
        <v>323.10000000000002</v>
      </c>
      <c r="BQ36">
        <v>80.8</v>
      </c>
      <c r="BR36">
        <v>305.60000000000002</v>
      </c>
      <c r="BS36">
        <v>384.3</v>
      </c>
      <c r="BT36">
        <v>409.2</v>
      </c>
      <c r="BU36">
        <v>442.6</v>
      </c>
    </row>
    <row r="37" spans="1:73" x14ac:dyDescent="0.3">
      <c r="A37" t="s">
        <v>260</v>
      </c>
    </row>
    <row r="38" spans="1:73" x14ac:dyDescent="0.3">
      <c r="A38" t="s">
        <v>135</v>
      </c>
      <c r="B38">
        <v>1454</v>
      </c>
      <c r="C38">
        <v>1538</v>
      </c>
      <c r="D38">
        <v>1417</v>
      </c>
      <c r="E38">
        <v>1319</v>
      </c>
      <c r="F38">
        <v>1808</v>
      </c>
      <c r="G38">
        <v>363</v>
      </c>
      <c r="H38">
        <v>902</v>
      </c>
      <c r="I38">
        <v>1474</v>
      </c>
      <c r="J38">
        <v>2297</v>
      </c>
      <c r="K38">
        <v>486</v>
      </c>
      <c r="L38">
        <v>974</v>
      </c>
      <c r="M38">
        <v>1657</v>
      </c>
      <c r="N38">
        <v>2502</v>
      </c>
      <c r="O38">
        <v>462</v>
      </c>
      <c r="P38">
        <v>1018</v>
      </c>
      <c r="Q38">
        <v>1724</v>
      </c>
      <c r="R38">
        <v>2491</v>
      </c>
      <c r="S38">
        <v>468</v>
      </c>
      <c r="T38">
        <v>1041</v>
      </c>
      <c r="U38">
        <v>1233</v>
      </c>
      <c r="V38">
        <v>2568</v>
      </c>
      <c r="W38">
        <v>580</v>
      </c>
      <c r="X38">
        <v>1200</v>
      </c>
      <c r="Y38">
        <v>1882</v>
      </c>
      <c r="Z38">
        <v>2546</v>
      </c>
      <c r="AA38">
        <v>626</v>
      </c>
      <c r="AB38">
        <v>1428</v>
      </c>
      <c r="AC38">
        <v>1948</v>
      </c>
      <c r="AD38">
        <v>3084</v>
      </c>
      <c r="AE38">
        <v>641</v>
      </c>
      <c r="AF38">
        <v>1302</v>
      </c>
      <c r="AG38">
        <v>2082</v>
      </c>
      <c r="AH38">
        <v>2727</v>
      </c>
      <c r="AI38">
        <v>764</v>
      </c>
      <c r="AJ38">
        <v>1613</v>
      </c>
      <c r="AK38">
        <v>2455</v>
      </c>
      <c r="AL38">
        <v>3314</v>
      </c>
      <c r="AM38">
        <v>936</v>
      </c>
      <c r="AN38">
        <v>1970</v>
      </c>
      <c r="AO38">
        <v>2846</v>
      </c>
      <c r="AP38">
        <v>4342</v>
      </c>
      <c r="AQ38">
        <v>1972</v>
      </c>
      <c r="AR38">
        <v>4400</v>
      </c>
      <c r="AS38">
        <v>2469</v>
      </c>
      <c r="AT38">
        <v>5254</v>
      </c>
      <c r="AU38">
        <v>2859</v>
      </c>
      <c r="AV38">
        <v>4970</v>
      </c>
      <c r="AW38">
        <v>2847</v>
      </c>
      <c r="AX38">
        <v>5532</v>
      </c>
      <c r="AY38">
        <v>2991</v>
      </c>
      <c r="AZ38">
        <v>5730</v>
      </c>
      <c r="BA38">
        <v>2614</v>
      </c>
      <c r="BB38">
        <v>4794</v>
      </c>
      <c r="BC38">
        <v>3497</v>
      </c>
      <c r="BD38">
        <v>5009</v>
      </c>
      <c r="BE38">
        <v>3426</v>
      </c>
      <c r="BF38">
        <v>6195</v>
      </c>
      <c r="BG38">
        <v>3027</v>
      </c>
      <c r="BH38">
        <v>29870</v>
      </c>
      <c r="BI38">
        <v>3969</v>
      </c>
      <c r="BJ38">
        <v>8292</v>
      </c>
      <c r="BK38">
        <v>3865</v>
      </c>
      <c r="BL38">
        <v>8532</v>
      </c>
      <c r="BM38">
        <v>4593</v>
      </c>
      <c r="BN38">
        <v>8763</v>
      </c>
      <c r="BO38">
        <v>4385</v>
      </c>
      <c r="BP38">
        <v>10010</v>
      </c>
      <c r="BQ38">
        <v>3062</v>
      </c>
      <c r="BR38">
        <v>9746</v>
      </c>
      <c r="BS38">
        <v>11482.3</v>
      </c>
      <c r="BT38">
        <v>12226.8</v>
      </c>
      <c r="BU38">
        <v>13045.9</v>
      </c>
    </row>
    <row r="39" spans="1:73" x14ac:dyDescent="0.3">
      <c r="A39" t="s">
        <v>136</v>
      </c>
      <c r="B39">
        <v>856</v>
      </c>
      <c r="C39">
        <v>928.1</v>
      </c>
      <c r="D39">
        <v>737.2</v>
      </c>
      <c r="E39">
        <v>708.9</v>
      </c>
      <c r="F39">
        <v>818.2</v>
      </c>
      <c r="G39">
        <v>286.60000000000002</v>
      </c>
      <c r="H39">
        <v>725.8</v>
      </c>
      <c r="I39">
        <v>1163</v>
      </c>
      <c r="J39">
        <v>1157</v>
      </c>
      <c r="K39">
        <v>416.6</v>
      </c>
      <c r="L39">
        <v>776.4</v>
      </c>
      <c r="M39">
        <v>1323.4</v>
      </c>
      <c r="N39">
        <v>1272.2</v>
      </c>
      <c r="O39">
        <v>378.4</v>
      </c>
      <c r="P39">
        <v>814.8</v>
      </c>
      <c r="Q39">
        <v>1402.4</v>
      </c>
      <c r="R39">
        <v>1383.7</v>
      </c>
      <c r="S39">
        <v>396</v>
      </c>
      <c r="T39">
        <v>769.8</v>
      </c>
      <c r="U39">
        <v>994.4</v>
      </c>
      <c r="V39">
        <v>1231.5999999999999</v>
      </c>
      <c r="W39">
        <v>347.3</v>
      </c>
      <c r="X39">
        <v>731.4</v>
      </c>
      <c r="Y39">
        <v>1434.4</v>
      </c>
      <c r="Z39">
        <v>1944</v>
      </c>
      <c r="AA39">
        <v>430</v>
      </c>
      <c r="AB39">
        <v>991.5</v>
      </c>
      <c r="AC39">
        <v>1323.5</v>
      </c>
      <c r="AD39">
        <v>2133.5</v>
      </c>
      <c r="AE39">
        <v>432.2</v>
      </c>
      <c r="AF39">
        <v>895</v>
      </c>
      <c r="AG39">
        <v>1446.2</v>
      </c>
      <c r="AH39">
        <v>1868.6</v>
      </c>
      <c r="AI39">
        <v>514.70000000000005</v>
      </c>
      <c r="AJ39">
        <v>1097.4000000000001</v>
      </c>
      <c r="AK39">
        <v>1693.8</v>
      </c>
      <c r="AL39">
        <v>2306.1999999999998</v>
      </c>
      <c r="AM39">
        <v>647.29999999999995</v>
      </c>
      <c r="AN39">
        <v>1345.5</v>
      </c>
      <c r="AO39">
        <v>1917.6</v>
      </c>
      <c r="AP39">
        <v>2931.9</v>
      </c>
      <c r="AQ39">
        <v>1337</v>
      </c>
      <c r="AR39">
        <v>2944.8</v>
      </c>
      <c r="AS39">
        <v>1663</v>
      </c>
      <c r="AT39">
        <v>3498.7</v>
      </c>
      <c r="AU39">
        <v>1921.8</v>
      </c>
      <c r="AV39">
        <v>3121.7</v>
      </c>
      <c r="AW39">
        <v>1908</v>
      </c>
      <c r="AX39">
        <v>3753.3</v>
      </c>
      <c r="AY39">
        <v>2040</v>
      </c>
      <c r="AZ39">
        <v>3854</v>
      </c>
      <c r="BA39">
        <v>1747</v>
      </c>
      <c r="BB39">
        <v>3077.2</v>
      </c>
      <c r="BC39">
        <v>2645</v>
      </c>
      <c r="BD39">
        <v>3636.9</v>
      </c>
      <c r="BE39">
        <v>2671</v>
      </c>
      <c r="BF39">
        <v>4609.3</v>
      </c>
      <c r="BG39">
        <v>2261</v>
      </c>
      <c r="BH39">
        <v>37733.699999999997</v>
      </c>
      <c r="BI39">
        <v>2690</v>
      </c>
      <c r="BJ39">
        <v>5988.1</v>
      </c>
      <c r="BK39">
        <v>2814</v>
      </c>
      <c r="BL39">
        <v>6499.5</v>
      </c>
      <c r="BM39">
        <v>3457.8</v>
      </c>
      <c r="BN39">
        <v>6836.1</v>
      </c>
      <c r="BO39">
        <v>3250.8</v>
      </c>
      <c r="BP39">
        <v>7545.9</v>
      </c>
      <c r="BQ39">
        <v>1859.6</v>
      </c>
      <c r="BR39">
        <v>6975.7</v>
      </c>
    </row>
    <row r="40" spans="1:73" x14ac:dyDescent="0.3">
      <c r="A40" t="s">
        <v>37</v>
      </c>
      <c r="B40">
        <v>1760</v>
      </c>
      <c r="C40">
        <v>1878</v>
      </c>
      <c r="D40">
        <v>1785</v>
      </c>
      <c r="E40">
        <v>1674</v>
      </c>
      <c r="F40">
        <v>2178</v>
      </c>
      <c r="G40">
        <v>426</v>
      </c>
      <c r="H40">
        <v>1004</v>
      </c>
      <c r="I40">
        <v>1673</v>
      </c>
      <c r="J40">
        <v>2786</v>
      </c>
      <c r="K40">
        <v>556</v>
      </c>
      <c r="L40">
        <v>1118</v>
      </c>
      <c r="M40">
        <v>1872</v>
      </c>
      <c r="N40">
        <v>2911</v>
      </c>
      <c r="O40">
        <v>521</v>
      </c>
      <c r="P40">
        <v>1124</v>
      </c>
      <c r="Q40">
        <v>1861</v>
      </c>
      <c r="R40">
        <v>2824</v>
      </c>
      <c r="S40">
        <v>519</v>
      </c>
      <c r="T40">
        <v>1138</v>
      </c>
      <c r="U40">
        <v>1386</v>
      </c>
      <c r="V40">
        <v>2903</v>
      </c>
      <c r="W40">
        <v>634</v>
      </c>
      <c r="X40">
        <v>1354</v>
      </c>
      <c r="Y40">
        <v>2086</v>
      </c>
      <c r="Z40">
        <v>2917</v>
      </c>
      <c r="AA40">
        <v>690</v>
      </c>
      <c r="AB40">
        <v>1611</v>
      </c>
      <c r="AC40">
        <v>2190</v>
      </c>
      <c r="AD40">
        <v>3515</v>
      </c>
      <c r="AE40">
        <v>743</v>
      </c>
      <c r="AF40">
        <v>1505</v>
      </c>
      <c r="AG40">
        <v>2374</v>
      </c>
      <c r="AH40">
        <v>3137</v>
      </c>
      <c r="AI40">
        <v>857</v>
      </c>
      <c r="AJ40">
        <v>1798</v>
      </c>
      <c r="AK40">
        <v>2732</v>
      </c>
      <c r="AL40">
        <v>3714</v>
      </c>
      <c r="AM40">
        <v>1042</v>
      </c>
      <c r="AN40">
        <v>2194</v>
      </c>
      <c r="AO40">
        <v>3205</v>
      </c>
      <c r="AP40">
        <v>4882</v>
      </c>
      <c r="AQ40">
        <v>2258</v>
      </c>
      <c r="AR40">
        <v>5002</v>
      </c>
      <c r="AS40">
        <v>2786</v>
      </c>
      <c r="AT40">
        <v>5837</v>
      </c>
      <c r="AU40">
        <v>3175</v>
      </c>
      <c r="AV40">
        <v>5537</v>
      </c>
      <c r="AW40">
        <v>3095</v>
      </c>
      <c r="AX40">
        <v>6112</v>
      </c>
      <c r="AY40">
        <v>3243</v>
      </c>
      <c r="AZ40">
        <v>6344</v>
      </c>
      <c r="BA40">
        <v>2862</v>
      </c>
      <c r="BB40">
        <v>5382</v>
      </c>
      <c r="BC40">
        <v>3779</v>
      </c>
      <c r="BD40">
        <v>5590</v>
      </c>
      <c r="BE40">
        <v>3686</v>
      </c>
      <c r="BF40">
        <v>6865</v>
      </c>
      <c r="BG40">
        <v>3408</v>
      </c>
      <c r="BH40">
        <v>30994</v>
      </c>
      <c r="BI40">
        <v>4732</v>
      </c>
      <c r="BJ40">
        <v>9926</v>
      </c>
      <c r="BK40">
        <v>4671</v>
      </c>
      <c r="BL40">
        <v>10320</v>
      </c>
      <c r="BM40">
        <v>5415</v>
      </c>
      <c r="BN40">
        <v>10547</v>
      </c>
      <c r="BO40">
        <v>5156</v>
      </c>
      <c r="BP40">
        <v>11528</v>
      </c>
      <c r="BQ40">
        <v>3907</v>
      </c>
      <c r="BR40">
        <v>11423</v>
      </c>
    </row>
    <row r="41" spans="1:73" x14ac:dyDescent="0.3">
      <c r="A41" t="s">
        <v>35</v>
      </c>
      <c r="B41">
        <v>1981</v>
      </c>
      <c r="C41">
        <v>2109</v>
      </c>
      <c r="D41">
        <v>2024</v>
      </c>
      <c r="E41">
        <v>1971</v>
      </c>
      <c r="F41">
        <v>2528</v>
      </c>
      <c r="G41">
        <v>426</v>
      </c>
      <c r="H41">
        <v>1363</v>
      </c>
      <c r="I41">
        <v>1673</v>
      </c>
      <c r="J41">
        <v>3187</v>
      </c>
      <c r="K41">
        <v>556</v>
      </c>
      <c r="L41">
        <v>1480</v>
      </c>
      <c r="M41">
        <v>1872</v>
      </c>
      <c r="N41">
        <v>3307</v>
      </c>
      <c r="O41">
        <v>521</v>
      </c>
      <c r="P41">
        <v>1470</v>
      </c>
      <c r="Q41">
        <v>1861</v>
      </c>
      <c r="R41">
        <v>3162</v>
      </c>
      <c r="S41">
        <v>519</v>
      </c>
      <c r="T41">
        <v>1626</v>
      </c>
      <c r="U41">
        <v>1386</v>
      </c>
      <c r="V41">
        <v>3380</v>
      </c>
      <c r="W41">
        <v>714</v>
      </c>
      <c r="X41">
        <v>1504</v>
      </c>
      <c r="Y41">
        <v>2322</v>
      </c>
      <c r="Z41">
        <v>3292</v>
      </c>
      <c r="AA41">
        <v>764</v>
      </c>
      <c r="AB41">
        <v>1800</v>
      </c>
      <c r="AC41">
        <v>2457</v>
      </c>
      <c r="AD41">
        <v>3840</v>
      </c>
      <c r="AE41">
        <v>849</v>
      </c>
      <c r="AF41">
        <v>1696</v>
      </c>
      <c r="AG41">
        <v>2673</v>
      </c>
      <c r="AH41">
        <v>3490</v>
      </c>
      <c r="AI41">
        <v>931</v>
      </c>
      <c r="AJ41">
        <v>1954</v>
      </c>
      <c r="AK41">
        <v>2964</v>
      </c>
      <c r="AL41">
        <v>4032</v>
      </c>
      <c r="AM41">
        <v>1125</v>
      </c>
      <c r="AN41">
        <v>2368</v>
      </c>
      <c r="AO41">
        <v>3482</v>
      </c>
      <c r="AP41">
        <v>5302</v>
      </c>
      <c r="AQ41">
        <v>2543</v>
      </c>
      <c r="AR41">
        <v>5506</v>
      </c>
      <c r="AS41">
        <v>3109</v>
      </c>
      <c r="AT41">
        <v>6341</v>
      </c>
      <c r="AU41">
        <v>3437</v>
      </c>
      <c r="AV41">
        <v>6354</v>
      </c>
      <c r="AW41">
        <v>3341</v>
      </c>
      <c r="AX41">
        <v>6587</v>
      </c>
      <c r="AY41">
        <v>3496</v>
      </c>
      <c r="AZ41">
        <v>6821</v>
      </c>
      <c r="BA41">
        <v>3096</v>
      </c>
      <c r="BB41">
        <v>5905</v>
      </c>
      <c r="BC41">
        <v>3976</v>
      </c>
      <c r="BD41">
        <v>6018</v>
      </c>
      <c r="BE41">
        <v>3939</v>
      </c>
      <c r="BF41">
        <v>7472</v>
      </c>
      <c r="BG41">
        <v>3754</v>
      </c>
      <c r="BH41">
        <v>31896</v>
      </c>
      <c r="BI41">
        <v>5169</v>
      </c>
      <c r="BJ41">
        <v>10964</v>
      </c>
      <c r="BK41">
        <v>5192</v>
      </c>
      <c r="BL41">
        <v>11832</v>
      </c>
      <c r="BM41">
        <v>5948</v>
      </c>
      <c r="BN41">
        <v>11788</v>
      </c>
      <c r="BO41">
        <v>5629</v>
      </c>
      <c r="BP41">
        <v>12520</v>
      </c>
      <c r="BQ41">
        <v>4566</v>
      </c>
      <c r="BR41">
        <v>12714</v>
      </c>
    </row>
    <row r="42" spans="1:73" x14ac:dyDescent="0.3">
      <c r="A42" t="s">
        <v>261</v>
      </c>
    </row>
    <row r="43" spans="1:73" x14ac:dyDescent="0.3">
      <c r="A43" t="s">
        <v>46</v>
      </c>
      <c r="AV43">
        <v>5519</v>
      </c>
      <c r="AW43">
        <v>2821</v>
      </c>
      <c r="AX43">
        <v>5641</v>
      </c>
      <c r="AY43">
        <v>2944</v>
      </c>
      <c r="AZ43">
        <v>5820</v>
      </c>
      <c r="BA43">
        <v>2665</v>
      </c>
      <c r="BB43">
        <v>5403</v>
      </c>
      <c r="BC43">
        <v>2507</v>
      </c>
      <c r="BD43">
        <v>4992</v>
      </c>
      <c r="BE43">
        <v>2452</v>
      </c>
      <c r="BF43">
        <v>5480</v>
      </c>
      <c r="BG43">
        <v>2841</v>
      </c>
      <c r="BH43">
        <v>7929</v>
      </c>
      <c r="BI43">
        <v>4818</v>
      </c>
      <c r="BJ43">
        <v>10347</v>
      </c>
      <c r="BK43">
        <v>5209</v>
      </c>
      <c r="BL43">
        <v>11130</v>
      </c>
      <c r="BM43">
        <v>5368</v>
      </c>
      <c r="BN43">
        <v>11365</v>
      </c>
      <c r="BO43">
        <v>5235</v>
      </c>
      <c r="BP43">
        <v>11150</v>
      </c>
      <c r="BQ43">
        <v>5645</v>
      </c>
      <c r="BR43">
        <v>12408</v>
      </c>
    </row>
    <row r="44" spans="1:73" x14ac:dyDescent="0.3">
      <c r="A44" t="s">
        <v>136</v>
      </c>
      <c r="AV44">
        <v>3857</v>
      </c>
      <c r="AW44">
        <v>1987</v>
      </c>
      <c r="AX44">
        <v>4000</v>
      </c>
      <c r="AY44">
        <v>2096</v>
      </c>
      <c r="AZ44">
        <v>4133</v>
      </c>
      <c r="BA44">
        <v>1910</v>
      </c>
      <c r="BB44">
        <v>3891</v>
      </c>
      <c r="BC44">
        <v>1865</v>
      </c>
      <c r="BE44">
        <v>2070</v>
      </c>
      <c r="BG44">
        <v>2505</v>
      </c>
      <c r="BH44">
        <v>5786</v>
      </c>
      <c r="BI44">
        <v>3143</v>
      </c>
      <c r="BJ44">
        <v>6801</v>
      </c>
      <c r="BK44">
        <v>3420</v>
      </c>
      <c r="BL44">
        <v>7418</v>
      </c>
      <c r="BM44">
        <v>3619</v>
      </c>
      <c r="BN44">
        <v>7613</v>
      </c>
      <c r="BO44">
        <v>3540</v>
      </c>
      <c r="BP44">
        <v>7556</v>
      </c>
      <c r="BQ44">
        <v>3806</v>
      </c>
      <c r="BR44">
        <v>8420</v>
      </c>
    </row>
    <row r="45" spans="1:73" x14ac:dyDescent="0.3">
      <c r="A45" t="s">
        <v>37</v>
      </c>
    </row>
    <row r="46" spans="1:73" x14ac:dyDescent="0.3">
      <c r="A46" t="s">
        <v>35</v>
      </c>
      <c r="BD46">
        <v>5329</v>
      </c>
      <c r="BF46">
        <v>5874</v>
      </c>
      <c r="BH46">
        <v>8363</v>
      </c>
    </row>
    <row r="47" spans="1:73" x14ac:dyDescent="0.3">
      <c r="A47" t="s">
        <v>262</v>
      </c>
      <c r="B47">
        <v>55.5</v>
      </c>
      <c r="C47">
        <v>63.7</v>
      </c>
      <c r="D47">
        <v>26.6</v>
      </c>
      <c r="E47">
        <v>46.1</v>
      </c>
      <c r="F47">
        <v>52.5</v>
      </c>
      <c r="G47">
        <v>11.5</v>
      </c>
      <c r="H47">
        <v>26.3</v>
      </c>
      <c r="I47">
        <v>42.3</v>
      </c>
      <c r="J47">
        <v>56.9</v>
      </c>
      <c r="K47">
        <v>12.8</v>
      </c>
      <c r="L47">
        <v>28.4</v>
      </c>
      <c r="M47">
        <v>45.8</v>
      </c>
      <c r="N47">
        <v>61.8</v>
      </c>
      <c r="O47">
        <v>14.8</v>
      </c>
      <c r="P47">
        <v>30.5</v>
      </c>
      <c r="Q47">
        <v>49.5</v>
      </c>
      <c r="R47">
        <v>66.5</v>
      </c>
      <c r="S47">
        <v>14.7</v>
      </c>
      <c r="T47">
        <v>31.7</v>
      </c>
      <c r="U47">
        <v>24.1</v>
      </c>
      <c r="V47">
        <v>69.2</v>
      </c>
      <c r="W47">
        <v>16.7</v>
      </c>
      <c r="X47">
        <v>33.9</v>
      </c>
      <c r="Y47">
        <v>41.2</v>
      </c>
      <c r="Z47">
        <v>77.2</v>
      </c>
      <c r="AA47">
        <v>19.399999999999999</v>
      </c>
      <c r="AB47">
        <v>41.2</v>
      </c>
      <c r="AC47">
        <v>67.2</v>
      </c>
      <c r="AD47">
        <v>90.1</v>
      </c>
      <c r="AE47">
        <v>22.2</v>
      </c>
      <c r="AF47">
        <v>49.5</v>
      </c>
      <c r="AG47">
        <v>75.599999999999994</v>
      </c>
      <c r="AH47">
        <v>98.9</v>
      </c>
      <c r="AI47">
        <v>24.5</v>
      </c>
      <c r="AJ47">
        <v>53.9</v>
      </c>
      <c r="AK47">
        <v>82.6</v>
      </c>
      <c r="AL47">
        <v>109.3</v>
      </c>
      <c r="AM47">
        <v>28.6</v>
      </c>
      <c r="AN47">
        <v>62.4</v>
      </c>
      <c r="AO47">
        <v>96.6</v>
      </c>
      <c r="AP47">
        <v>129.6</v>
      </c>
      <c r="AQ47">
        <v>77.8</v>
      </c>
      <c r="AR47">
        <v>153.80000000000001</v>
      </c>
      <c r="AS47">
        <v>87.6</v>
      </c>
      <c r="AT47">
        <v>176.7</v>
      </c>
      <c r="AU47">
        <v>96.6</v>
      </c>
      <c r="AV47">
        <v>195.8</v>
      </c>
      <c r="AW47">
        <v>101.8</v>
      </c>
      <c r="AX47">
        <v>217.4</v>
      </c>
      <c r="AY47">
        <v>109.5</v>
      </c>
      <c r="AZ47">
        <v>217.4</v>
      </c>
      <c r="BA47">
        <v>102</v>
      </c>
      <c r="BB47">
        <v>208.7</v>
      </c>
      <c r="BC47">
        <v>100.4</v>
      </c>
      <c r="BD47">
        <v>208.9</v>
      </c>
      <c r="BE47">
        <v>111.4</v>
      </c>
      <c r="BF47">
        <v>248.4</v>
      </c>
      <c r="BG47">
        <v>134.9</v>
      </c>
      <c r="BH47">
        <v>283.10000000000002</v>
      </c>
      <c r="BI47">
        <v>137.5</v>
      </c>
      <c r="BJ47">
        <v>297.60000000000002</v>
      </c>
      <c r="BK47">
        <v>149.69999999999999</v>
      </c>
      <c r="BL47">
        <v>324.8</v>
      </c>
      <c r="BM47">
        <v>158.30000000000001</v>
      </c>
      <c r="BN47">
        <v>333</v>
      </c>
      <c r="BO47">
        <v>154.80000000000001</v>
      </c>
      <c r="BP47">
        <v>330.4</v>
      </c>
      <c r="BQ47">
        <v>168.3</v>
      </c>
      <c r="BR47">
        <v>373.2</v>
      </c>
    </row>
    <row r="48" spans="1:73" x14ac:dyDescent="0.3">
      <c r="A48" t="s">
        <v>263</v>
      </c>
      <c r="B48">
        <v>55.5</v>
      </c>
      <c r="C48">
        <v>63.7</v>
      </c>
      <c r="D48">
        <v>26.3</v>
      </c>
      <c r="E48">
        <v>46.5</v>
      </c>
      <c r="F48">
        <v>52.3</v>
      </c>
      <c r="G48">
        <v>11.5</v>
      </c>
      <c r="H48">
        <v>26.3</v>
      </c>
      <c r="I48">
        <v>42.3</v>
      </c>
      <c r="J48">
        <v>56.9</v>
      </c>
      <c r="K48">
        <v>12.8</v>
      </c>
      <c r="L48">
        <v>28.4</v>
      </c>
      <c r="M48">
        <v>45.8</v>
      </c>
      <c r="N48">
        <v>61.8</v>
      </c>
      <c r="O48">
        <v>14</v>
      </c>
      <c r="P48">
        <v>30.5</v>
      </c>
      <c r="Q48">
        <v>49.5</v>
      </c>
      <c r="R48">
        <v>66.5</v>
      </c>
      <c r="S48">
        <v>14.7</v>
      </c>
      <c r="T48">
        <v>31.7</v>
      </c>
      <c r="U48">
        <v>51.4</v>
      </c>
      <c r="V48">
        <v>69.2</v>
      </c>
      <c r="W48">
        <v>15.8</v>
      </c>
      <c r="X48">
        <v>33.9</v>
      </c>
      <c r="Y48">
        <v>55</v>
      </c>
      <c r="Z48">
        <v>76.599999999999994</v>
      </c>
      <c r="AA48">
        <v>19.3</v>
      </c>
      <c r="AB48">
        <v>40.799999999999997</v>
      </c>
      <c r="AC48">
        <v>66.599999999999994</v>
      </c>
      <c r="AD48">
        <v>89.3</v>
      </c>
      <c r="AE48">
        <v>22.1</v>
      </c>
      <c r="AF48">
        <v>49.1</v>
      </c>
      <c r="AG48">
        <v>75</v>
      </c>
      <c r="AH48">
        <v>98.1</v>
      </c>
      <c r="AI48">
        <v>24.3</v>
      </c>
      <c r="AJ48">
        <v>53.5</v>
      </c>
      <c r="AK48">
        <v>82</v>
      </c>
      <c r="AL48">
        <v>108.5</v>
      </c>
      <c r="AM48">
        <v>28.4</v>
      </c>
      <c r="AN48">
        <v>62</v>
      </c>
      <c r="AO48">
        <v>96</v>
      </c>
      <c r="AP48">
        <v>128.80000000000001</v>
      </c>
      <c r="AQ48">
        <v>77.3</v>
      </c>
      <c r="AR48">
        <v>153</v>
      </c>
      <c r="AS48">
        <v>87.1</v>
      </c>
      <c r="AT48">
        <v>175.7</v>
      </c>
      <c r="AU48">
        <v>96.1</v>
      </c>
      <c r="AV48">
        <v>194.6</v>
      </c>
      <c r="AW48">
        <v>101.3</v>
      </c>
      <c r="AX48">
        <v>206.3</v>
      </c>
      <c r="AY48">
        <v>109.1</v>
      </c>
      <c r="AZ48">
        <v>216.6</v>
      </c>
      <c r="BA48">
        <v>101.8</v>
      </c>
      <c r="BB48">
        <v>208.1</v>
      </c>
      <c r="BC48">
        <v>100.2</v>
      </c>
      <c r="BD48">
        <v>208.4</v>
      </c>
      <c r="BE48">
        <v>111.1</v>
      </c>
      <c r="BF48">
        <v>247.5</v>
      </c>
      <c r="BG48">
        <v>134.4</v>
      </c>
      <c r="BH48">
        <v>282.10000000000002</v>
      </c>
      <c r="BI48">
        <v>137.19999999999999</v>
      </c>
      <c r="BJ48">
        <v>296.7</v>
      </c>
      <c r="BK48">
        <v>149.30000000000001</v>
      </c>
      <c r="BL48">
        <v>323.8</v>
      </c>
      <c r="BM48">
        <v>157.80000000000001</v>
      </c>
      <c r="BN48">
        <v>331.7</v>
      </c>
      <c r="BO48">
        <v>154.19999999999999</v>
      </c>
      <c r="BP48">
        <v>329</v>
      </c>
      <c r="BQ48">
        <v>167.4</v>
      </c>
      <c r="BR48">
        <v>371.4</v>
      </c>
    </row>
    <row r="49" spans="1:73" x14ac:dyDescent="0.3">
      <c r="A49" t="s">
        <v>235</v>
      </c>
    </row>
    <row r="50" spans="1:73" x14ac:dyDescent="0.3">
      <c r="A50" t="s">
        <v>264</v>
      </c>
      <c r="B50">
        <v>1550</v>
      </c>
      <c r="C50">
        <v>1550</v>
      </c>
      <c r="D50">
        <v>1550</v>
      </c>
      <c r="E50">
        <v>1571.2</v>
      </c>
      <c r="F50">
        <v>2176.9</v>
      </c>
      <c r="G50">
        <v>2176.9</v>
      </c>
      <c r="H50">
        <v>2177.6999999999998</v>
      </c>
      <c r="I50">
        <v>2178.1</v>
      </c>
      <c r="J50">
        <v>2178.1</v>
      </c>
      <c r="K50">
        <v>2178.1</v>
      </c>
      <c r="L50">
        <v>2179.3000000000002</v>
      </c>
      <c r="M50">
        <v>2179.3000000000002</v>
      </c>
      <c r="N50">
        <v>2179.4</v>
      </c>
      <c r="O50">
        <v>2179.4</v>
      </c>
      <c r="P50">
        <v>2181</v>
      </c>
      <c r="Q50">
        <v>2181</v>
      </c>
      <c r="R50">
        <v>2181.6</v>
      </c>
      <c r="S50">
        <v>2162.8000000000002</v>
      </c>
      <c r="T50">
        <v>2132.5</v>
      </c>
      <c r="U50">
        <v>2105.5</v>
      </c>
      <c r="V50">
        <v>2076.8000000000002</v>
      </c>
      <c r="W50">
        <v>2060.4</v>
      </c>
      <c r="X50">
        <v>2164.6</v>
      </c>
      <c r="Y50">
        <v>2154</v>
      </c>
      <c r="Z50">
        <v>2139.8000000000002</v>
      </c>
      <c r="AA50">
        <v>2134.4</v>
      </c>
      <c r="AB50">
        <v>2112.1999999999998</v>
      </c>
      <c r="AC50">
        <v>2105.9</v>
      </c>
      <c r="AD50">
        <v>2098.6999999999998</v>
      </c>
      <c r="AE50">
        <v>1791.2</v>
      </c>
      <c r="AF50">
        <v>1727.3</v>
      </c>
      <c r="AG50">
        <v>2069.3000000000002</v>
      </c>
      <c r="AH50">
        <v>2061.9</v>
      </c>
      <c r="AI50">
        <v>2055.3000000000002</v>
      </c>
      <c r="AJ50">
        <v>2040.5</v>
      </c>
      <c r="AK50">
        <v>2025.3</v>
      </c>
      <c r="AL50">
        <v>2017.6</v>
      </c>
      <c r="AM50">
        <v>2016.2</v>
      </c>
      <c r="AN50">
        <v>2007</v>
      </c>
      <c r="AO50">
        <v>2001.4</v>
      </c>
      <c r="AP50">
        <v>1996.1</v>
      </c>
      <c r="AQ50">
        <v>1996.3</v>
      </c>
      <c r="AR50">
        <v>1996.4</v>
      </c>
      <c r="AS50">
        <v>1996.8</v>
      </c>
      <c r="AT50">
        <v>1996.8</v>
      </c>
      <c r="AU50">
        <v>1984</v>
      </c>
      <c r="AV50">
        <v>1969</v>
      </c>
      <c r="AW50">
        <v>1951.7</v>
      </c>
      <c r="AX50">
        <v>1930.5</v>
      </c>
      <c r="AY50">
        <v>1912.5</v>
      </c>
      <c r="AZ50">
        <v>1886.9</v>
      </c>
      <c r="BA50">
        <v>1868.6</v>
      </c>
      <c r="BB50">
        <v>1864</v>
      </c>
      <c r="BC50">
        <v>1864.2</v>
      </c>
      <c r="BD50">
        <v>1864.2</v>
      </c>
      <c r="BE50">
        <v>1864.3</v>
      </c>
      <c r="BF50">
        <v>1864.4</v>
      </c>
      <c r="BG50">
        <v>1864.5</v>
      </c>
      <c r="BH50">
        <v>2293.6</v>
      </c>
      <c r="BI50">
        <v>2293.6999999999998</v>
      </c>
      <c r="BJ50">
        <v>2293.8000000000002</v>
      </c>
      <c r="BK50">
        <v>2293.8000000000002</v>
      </c>
      <c r="BL50">
        <v>2293.9</v>
      </c>
      <c r="BM50">
        <v>2294.1999999999998</v>
      </c>
      <c r="BN50">
        <v>2294.1999999999998</v>
      </c>
      <c r="BO50">
        <v>2294.6</v>
      </c>
      <c r="BP50">
        <v>2294.6999999999998</v>
      </c>
      <c r="BQ50">
        <v>2258</v>
      </c>
      <c r="BR50">
        <v>2235.9</v>
      </c>
    </row>
    <row r="51" spans="1:73" x14ac:dyDescent="0.3">
      <c r="A51" t="s">
        <v>265</v>
      </c>
      <c r="B51">
        <v>1550</v>
      </c>
      <c r="C51">
        <v>1550</v>
      </c>
      <c r="D51">
        <v>1550</v>
      </c>
      <c r="E51">
        <v>1561</v>
      </c>
      <c r="F51">
        <v>1910</v>
      </c>
      <c r="G51">
        <v>2444.4</v>
      </c>
      <c r="H51">
        <v>2329.1999999999998</v>
      </c>
      <c r="I51">
        <v>2270.6999999999998</v>
      </c>
      <c r="J51">
        <v>2150</v>
      </c>
      <c r="K51">
        <v>2185.1</v>
      </c>
      <c r="L51">
        <v>2251.6999999999998</v>
      </c>
      <c r="M51">
        <v>2218.9</v>
      </c>
      <c r="N51">
        <v>2145</v>
      </c>
      <c r="O51">
        <v>2184.8000000000002</v>
      </c>
      <c r="P51">
        <v>2240.3000000000002</v>
      </c>
      <c r="Q51">
        <v>2212.6999999999998</v>
      </c>
      <c r="R51">
        <v>2145</v>
      </c>
      <c r="S51">
        <v>2179.6999999999998</v>
      </c>
      <c r="T51">
        <v>2318.4</v>
      </c>
      <c r="U51">
        <v>2105.5</v>
      </c>
      <c r="V51">
        <v>2102</v>
      </c>
      <c r="W51">
        <v>2042</v>
      </c>
      <c r="X51">
        <v>2048</v>
      </c>
      <c r="Y51">
        <v>2077</v>
      </c>
      <c r="Z51">
        <v>2088</v>
      </c>
      <c r="AA51">
        <v>2113</v>
      </c>
      <c r="AB51">
        <v>2109</v>
      </c>
      <c r="AC51">
        <v>2101</v>
      </c>
      <c r="AD51">
        <v>2095</v>
      </c>
      <c r="AE51">
        <v>2072</v>
      </c>
      <c r="AF51">
        <v>2069</v>
      </c>
      <c r="AG51">
        <v>2064</v>
      </c>
      <c r="AH51">
        <v>2059</v>
      </c>
      <c r="AI51">
        <v>2042</v>
      </c>
      <c r="AJ51">
        <v>2038</v>
      </c>
      <c r="AK51">
        <v>2031</v>
      </c>
      <c r="AL51">
        <v>2025</v>
      </c>
      <c r="AM51">
        <v>2002</v>
      </c>
      <c r="AN51">
        <v>1999</v>
      </c>
      <c r="AO51">
        <v>1996</v>
      </c>
      <c r="AP51">
        <v>1993</v>
      </c>
      <c r="AQ51">
        <v>1980</v>
      </c>
      <c r="AR51">
        <v>1980</v>
      </c>
      <c r="AS51">
        <v>1982</v>
      </c>
      <c r="AT51">
        <v>1983</v>
      </c>
      <c r="AU51">
        <v>1979</v>
      </c>
      <c r="AV51">
        <v>1970</v>
      </c>
      <c r="AW51">
        <v>1951</v>
      </c>
      <c r="AX51">
        <v>1939</v>
      </c>
      <c r="AY51">
        <v>1914</v>
      </c>
      <c r="AZ51">
        <v>1901</v>
      </c>
      <c r="BA51">
        <v>1872</v>
      </c>
      <c r="BB51">
        <v>1864</v>
      </c>
      <c r="BC51">
        <v>1858</v>
      </c>
      <c r="BD51">
        <v>1858</v>
      </c>
      <c r="BE51">
        <v>1858</v>
      </c>
      <c r="BF51">
        <v>1858</v>
      </c>
      <c r="BG51">
        <v>1858</v>
      </c>
      <c r="BH51">
        <v>2044</v>
      </c>
      <c r="BI51">
        <v>2285</v>
      </c>
      <c r="BJ51">
        <v>2285</v>
      </c>
      <c r="BK51">
        <v>2284</v>
      </c>
      <c r="BL51">
        <v>2284</v>
      </c>
      <c r="BM51">
        <v>2286</v>
      </c>
      <c r="BN51">
        <v>2286</v>
      </c>
      <c r="BO51">
        <v>2287</v>
      </c>
      <c r="BP51">
        <v>2287</v>
      </c>
      <c r="BQ51">
        <v>2262</v>
      </c>
      <c r="BR51">
        <v>2256</v>
      </c>
    </row>
    <row r="52" spans="1:73" x14ac:dyDescent="0.3">
      <c r="A52" t="s">
        <v>266</v>
      </c>
      <c r="B52">
        <v>1550</v>
      </c>
      <c r="C52">
        <v>1550</v>
      </c>
      <c r="D52">
        <v>1565</v>
      </c>
      <c r="E52">
        <v>1574</v>
      </c>
      <c r="F52">
        <v>2058</v>
      </c>
      <c r="G52">
        <v>2444.4</v>
      </c>
      <c r="H52">
        <v>2329.1999999999998</v>
      </c>
      <c r="I52">
        <v>2270.6999999999998</v>
      </c>
      <c r="J52">
        <v>2340</v>
      </c>
      <c r="K52">
        <v>2185.1</v>
      </c>
      <c r="L52">
        <v>2251.6999999999998</v>
      </c>
      <c r="M52">
        <v>2218.9</v>
      </c>
      <c r="N52">
        <v>2297</v>
      </c>
      <c r="O52">
        <v>2299.9</v>
      </c>
      <c r="P52">
        <v>2300.8000000000002</v>
      </c>
      <c r="Q52">
        <v>2212.6999999999998</v>
      </c>
      <c r="R52">
        <v>2299</v>
      </c>
      <c r="S52">
        <v>2284.6</v>
      </c>
      <c r="T52">
        <v>2337.4</v>
      </c>
      <c r="U52">
        <v>2105.5</v>
      </c>
      <c r="V52">
        <v>2241</v>
      </c>
      <c r="W52">
        <v>2181.4</v>
      </c>
      <c r="X52">
        <v>2167</v>
      </c>
      <c r="Y52">
        <v>2161</v>
      </c>
      <c r="Z52">
        <v>2156</v>
      </c>
      <c r="AA52">
        <v>2129</v>
      </c>
      <c r="AB52">
        <v>2125</v>
      </c>
      <c r="AC52">
        <v>2119</v>
      </c>
      <c r="AD52">
        <v>2112</v>
      </c>
      <c r="AE52">
        <v>2091</v>
      </c>
      <c r="AF52">
        <v>2085</v>
      </c>
      <c r="AG52">
        <v>2080</v>
      </c>
      <c r="AH52">
        <v>2076</v>
      </c>
      <c r="AI52">
        <v>2057</v>
      </c>
      <c r="AJ52">
        <v>2052</v>
      </c>
      <c r="AK52">
        <v>2045</v>
      </c>
      <c r="AL52">
        <v>2039</v>
      </c>
      <c r="AM52">
        <v>2015</v>
      </c>
      <c r="AN52">
        <v>2012</v>
      </c>
      <c r="AO52">
        <v>2009</v>
      </c>
      <c r="AP52">
        <v>2005</v>
      </c>
      <c r="AQ52">
        <v>1993</v>
      </c>
      <c r="AR52">
        <v>1991</v>
      </c>
      <c r="AS52">
        <v>1993</v>
      </c>
      <c r="AT52">
        <v>1994</v>
      </c>
      <c r="AU52">
        <v>1990</v>
      </c>
      <c r="AV52">
        <v>1982</v>
      </c>
      <c r="AW52">
        <v>1961</v>
      </c>
      <c r="AX52">
        <v>1949</v>
      </c>
      <c r="AY52">
        <v>1922</v>
      </c>
      <c r="AZ52">
        <v>1908</v>
      </c>
      <c r="BA52">
        <v>1876</v>
      </c>
      <c r="BB52">
        <v>1870</v>
      </c>
      <c r="BC52">
        <v>1862</v>
      </c>
      <c r="BD52">
        <v>1863</v>
      </c>
      <c r="BE52">
        <v>1863</v>
      </c>
      <c r="BF52">
        <v>1865</v>
      </c>
      <c r="BG52">
        <v>1863</v>
      </c>
      <c r="BH52">
        <v>2051</v>
      </c>
      <c r="BI52">
        <v>2291</v>
      </c>
      <c r="BJ52">
        <v>2292</v>
      </c>
      <c r="BK52">
        <v>2291</v>
      </c>
      <c r="BL52">
        <v>2291</v>
      </c>
      <c r="BM52">
        <v>2294</v>
      </c>
      <c r="BN52">
        <v>2295</v>
      </c>
      <c r="BO52">
        <v>2296</v>
      </c>
      <c r="BP52">
        <v>2297</v>
      </c>
      <c r="BQ52">
        <v>2273</v>
      </c>
      <c r="BR52">
        <v>2267</v>
      </c>
    </row>
    <row r="53" spans="1:73" x14ac:dyDescent="0.3">
      <c r="A53" t="s">
        <v>267</v>
      </c>
      <c r="B53">
        <v>43</v>
      </c>
      <c r="C53">
        <v>37</v>
      </c>
      <c r="D53">
        <v>42</v>
      </c>
      <c r="E53">
        <v>45</v>
      </c>
      <c r="F53">
        <v>58</v>
      </c>
      <c r="J53">
        <v>59</v>
      </c>
      <c r="N53">
        <v>59</v>
      </c>
      <c r="R53">
        <v>62</v>
      </c>
      <c r="V53">
        <v>73</v>
      </c>
      <c r="Z53">
        <v>29</v>
      </c>
      <c r="AD53">
        <v>29</v>
      </c>
      <c r="AH53">
        <v>36</v>
      </c>
      <c r="AP53">
        <v>50</v>
      </c>
      <c r="AR53">
        <v>51</v>
      </c>
      <c r="AT53">
        <v>82</v>
      </c>
      <c r="AV53">
        <v>81</v>
      </c>
      <c r="AX53">
        <v>93</v>
      </c>
      <c r="AZ53">
        <v>91</v>
      </c>
      <c r="BB53">
        <v>74</v>
      </c>
      <c r="BD53">
        <v>60</v>
      </c>
      <c r="BF53">
        <v>53</v>
      </c>
      <c r="BH53">
        <v>80</v>
      </c>
      <c r="BJ53">
        <v>105</v>
      </c>
      <c r="BL53">
        <v>126</v>
      </c>
      <c r="BN53">
        <v>121</v>
      </c>
      <c r="BP53">
        <v>141</v>
      </c>
      <c r="BR53">
        <v>138</v>
      </c>
    </row>
    <row r="54" spans="1:73" x14ac:dyDescent="0.3">
      <c r="A54" t="s">
        <v>268</v>
      </c>
      <c r="B54">
        <v>53</v>
      </c>
      <c r="C54">
        <v>68</v>
      </c>
      <c r="D54">
        <v>75</v>
      </c>
      <c r="E54">
        <v>83</v>
      </c>
      <c r="F54">
        <v>104</v>
      </c>
      <c r="J54">
        <v>102</v>
      </c>
      <c r="N54">
        <v>108</v>
      </c>
      <c r="R54">
        <v>109</v>
      </c>
      <c r="V54">
        <v>111</v>
      </c>
      <c r="Z54">
        <v>99</v>
      </c>
      <c r="AD54">
        <v>90</v>
      </c>
      <c r="AH54">
        <v>89</v>
      </c>
      <c r="AP54">
        <v>116</v>
      </c>
      <c r="AR54">
        <v>129</v>
      </c>
      <c r="AT54">
        <v>127</v>
      </c>
      <c r="AV54">
        <v>129</v>
      </c>
      <c r="AX54">
        <v>116</v>
      </c>
      <c r="AZ54">
        <v>119</v>
      </c>
      <c r="BB54">
        <v>97</v>
      </c>
      <c r="BD54">
        <v>72</v>
      </c>
      <c r="BF54">
        <v>71</v>
      </c>
      <c r="BH54">
        <v>126</v>
      </c>
      <c r="BJ54">
        <v>171</v>
      </c>
      <c r="BL54">
        <v>17</v>
      </c>
      <c r="BN54">
        <v>11</v>
      </c>
      <c r="BP54">
        <v>9</v>
      </c>
    </row>
    <row r="55" spans="1:73" x14ac:dyDescent="0.3">
      <c r="A55" t="s">
        <v>269</v>
      </c>
    </row>
    <row r="56" spans="1:73" x14ac:dyDescent="0.3">
      <c r="A56" t="s">
        <v>154</v>
      </c>
      <c r="B56">
        <v>-361</v>
      </c>
      <c r="C56">
        <v>-360</v>
      </c>
      <c r="D56">
        <v>-360</v>
      </c>
      <c r="E56">
        <v>-363</v>
      </c>
      <c r="J56">
        <v>-362</v>
      </c>
      <c r="N56">
        <v>-515</v>
      </c>
      <c r="R56">
        <v>-490</v>
      </c>
      <c r="V56">
        <v>-428</v>
      </c>
      <c r="X56">
        <v>-106</v>
      </c>
      <c r="Z56">
        <v>-333</v>
      </c>
      <c r="AB56">
        <v>-122</v>
      </c>
      <c r="AD56">
        <v>-419</v>
      </c>
      <c r="AF56">
        <v>-180</v>
      </c>
      <c r="AH56">
        <v>-483</v>
      </c>
      <c r="AJ56">
        <v>-175</v>
      </c>
      <c r="AL56">
        <v>-482</v>
      </c>
      <c r="AN56">
        <v>-132</v>
      </c>
      <c r="AP56">
        <v>-544</v>
      </c>
      <c r="AQ56">
        <v>-193</v>
      </c>
      <c r="AR56">
        <v>-554</v>
      </c>
      <c r="AS56">
        <v>-172</v>
      </c>
      <c r="AT56">
        <v>-584</v>
      </c>
      <c r="AU56">
        <v>-148</v>
      </c>
      <c r="AV56">
        <v>-617</v>
      </c>
      <c r="AW56">
        <v>-213</v>
      </c>
      <c r="AX56">
        <v>-804</v>
      </c>
      <c r="AY56">
        <v>-210</v>
      </c>
      <c r="AZ56">
        <v>-721</v>
      </c>
      <c r="BA56">
        <v>-277</v>
      </c>
      <c r="BB56">
        <v>-692</v>
      </c>
      <c r="BC56">
        <v>-206</v>
      </c>
      <c r="BD56">
        <v>-601</v>
      </c>
      <c r="BE56">
        <v>-149</v>
      </c>
      <c r="BF56">
        <v>-674</v>
      </c>
      <c r="BG56">
        <v>-297</v>
      </c>
      <c r="BH56">
        <v>-978</v>
      </c>
      <c r="BI56">
        <v>-240</v>
      </c>
      <c r="BJ56">
        <v>-943</v>
      </c>
      <c r="BK56">
        <v>-234</v>
      </c>
      <c r="BL56">
        <v>-815</v>
      </c>
      <c r="BM56">
        <v>-168</v>
      </c>
      <c r="BN56">
        <v>-755</v>
      </c>
      <c r="BO56">
        <v>-175</v>
      </c>
      <c r="BP56">
        <v>-745</v>
      </c>
      <c r="BQ56">
        <v>-151</v>
      </c>
      <c r="BR56">
        <v>-656</v>
      </c>
      <c r="BS56">
        <v>-669.5</v>
      </c>
      <c r="BT56">
        <v>-717.8</v>
      </c>
      <c r="BU56">
        <v>-762.5</v>
      </c>
    </row>
    <row r="57" spans="1:73" x14ac:dyDescent="0.3">
      <c r="A57" t="s">
        <v>270</v>
      </c>
      <c r="B57">
        <v>57096</v>
      </c>
      <c r="C57">
        <v>55575</v>
      </c>
      <c r="D57">
        <v>57664</v>
      </c>
      <c r="E57">
        <v>57884</v>
      </c>
      <c r="F57">
        <v>67292</v>
      </c>
      <c r="J57">
        <v>64274</v>
      </c>
      <c r="N57">
        <v>59658</v>
      </c>
      <c r="R57">
        <v>60855</v>
      </c>
      <c r="V57">
        <v>60902</v>
      </c>
      <c r="Z57">
        <v>60941</v>
      </c>
      <c r="AD57">
        <v>55364</v>
      </c>
      <c r="AH57">
        <v>55145</v>
      </c>
      <c r="AL57">
        <v>53907</v>
      </c>
      <c r="AP57">
        <v>56170</v>
      </c>
      <c r="AR57">
        <v>61053</v>
      </c>
      <c r="AT57">
        <v>60416</v>
      </c>
      <c r="AV57">
        <v>56253</v>
      </c>
      <c r="AX57">
        <v>56351</v>
      </c>
      <c r="AZ57">
        <v>89809</v>
      </c>
      <c r="BB57">
        <v>90118</v>
      </c>
      <c r="BD57">
        <v>50599</v>
      </c>
      <c r="BF57">
        <v>49817</v>
      </c>
      <c r="BH57">
        <v>55761</v>
      </c>
      <c r="BJ57">
        <v>57339</v>
      </c>
      <c r="BL57">
        <v>53761</v>
      </c>
      <c r="BN57">
        <v>55969</v>
      </c>
      <c r="BP57">
        <v>52050</v>
      </c>
      <c r="BR57">
        <v>50397</v>
      </c>
    </row>
    <row r="58" spans="1:73" x14ac:dyDescent="0.3">
      <c r="A58" t="s">
        <v>271</v>
      </c>
      <c r="B58">
        <v>33.6</v>
      </c>
      <c r="C58">
        <v>32</v>
      </c>
      <c r="D58">
        <v>40.799999999999997</v>
      </c>
      <c r="E58">
        <v>37.5</v>
      </c>
      <c r="F58">
        <v>49.1</v>
      </c>
      <c r="G58">
        <v>53.9</v>
      </c>
      <c r="H58">
        <v>42.5</v>
      </c>
      <c r="I58">
        <v>43</v>
      </c>
      <c r="J58">
        <v>43.4</v>
      </c>
      <c r="K58">
        <v>37.200000000000003</v>
      </c>
      <c r="L58">
        <v>43.1</v>
      </c>
      <c r="M58">
        <v>40.5</v>
      </c>
      <c r="N58">
        <v>42.9</v>
      </c>
      <c r="O58">
        <v>43.6</v>
      </c>
      <c r="P58">
        <v>42.2</v>
      </c>
      <c r="Q58">
        <v>38.799999999999997</v>
      </c>
      <c r="R58">
        <v>38.700000000000003</v>
      </c>
      <c r="S58">
        <v>41.7</v>
      </c>
      <c r="T58">
        <v>52.4</v>
      </c>
      <c r="U58">
        <v>48.7</v>
      </c>
      <c r="V58">
        <v>49.7</v>
      </c>
      <c r="W58">
        <v>34.299999999999997</v>
      </c>
      <c r="X58">
        <v>33.200000000000003</v>
      </c>
      <c r="Y58">
        <v>18</v>
      </c>
      <c r="Z58">
        <v>18.5</v>
      </c>
      <c r="AA58">
        <v>26.5</v>
      </c>
      <c r="AB58">
        <v>26.2</v>
      </c>
      <c r="AC58">
        <v>27.1</v>
      </c>
      <c r="AD58">
        <v>26.7</v>
      </c>
      <c r="AE58">
        <v>26.6</v>
      </c>
      <c r="AF58">
        <v>25.3</v>
      </c>
      <c r="AG58">
        <v>24.9</v>
      </c>
      <c r="AH58">
        <v>25.9</v>
      </c>
      <c r="AI58">
        <v>27</v>
      </c>
      <c r="AJ58">
        <v>26.4</v>
      </c>
      <c r="AK58">
        <v>25.8</v>
      </c>
      <c r="AL58">
        <v>25.7</v>
      </c>
      <c r="AM58">
        <v>25.7</v>
      </c>
      <c r="AN58">
        <v>26.9</v>
      </c>
      <c r="AO58">
        <v>27.4</v>
      </c>
      <c r="AP58">
        <v>27.8</v>
      </c>
      <c r="AQ58">
        <v>25.2</v>
      </c>
      <c r="AR58">
        <v>27.5</v>
      </c>
      <c r="AS58">
        <v>27.4</v>
      </c>
      <c r="AT58">
        <v>28.4</v>
      </c>
      <c r="AU58">
        <v>28</v>
      </c>
      <c r="AV58">
        <v>31.6</v>
      </c>
      <c r="AW58">
        <v>27.5</v>
      </c>
      <c r="AX58">
        <v>27.1</v>
      </c>
      <c r="AY58">
        <v>26.8</v>
      </c>
      <c r="AZ58">
        <v>27.6</v>
      </c>
      <c r="BA58">
        <v>27.9</v>
      </c>
      <c r="BB58">
        <v>30</v>
      </c>
      <c r="BC58">
        <v>20.399999999999999</v>
      </c>
      <c r="BD58">
        <v>22.8</v>
      </c>
      <c r="BE58">
        <v>20</v>
      </c>
      <c r="BF58">
        <v>22.5</v>
      </c>
      <c r="BG58">
        <v>22.5</v>
      </c>
      <c r="BH58">
        <v>-27.5</v>
      </c>
      <c r="BI58">
        <v>30.1</v>
      </c>
      <c r="BJ58">
        <v>25.6</v>
      </c>
      <c r="BK58">
        <v>25.1</v>
      </c>
      <c r="BL58">
        <v>26.1</v>
      </c>
      <c r="BM58">
        <v>23</v>
      </c>
      <c r="BN58">
        <v>24.3</v>
      </c>
      <c r="BO58">
        <v>24.1</v>
      </c>
      <c r="BP58">
        <v>23.9</v>
      </c>
      <c r="BQ58">
        <v>36.700000000000003</v>
      </c>
      <c r="BR58">
        <v>26.6</v>
      </c>
    </row>
    <row r="59" spans="1:73" x14ac:dyDescent="0.3">
      <c r="A59" t="s">
        <v>272</v>
      </c>
      <c r="E59">
        <v>8304</v>
      </c>
      <c r="F59">
        <v>7657.3</v>
      </c>
      <c r="J59">
        <v>11102.8</v>
      </c>
      <c r="N59">
        <v>12694.9</v>
      </c>
      <c r="R59">
        <v>13537.1</v>
      </c>
      <c r="V59">
        <v>15991.7</v>
      </c>
      <c r="Z59">
        <v>19204.8</v>
      </c>
      <c r="AD59">
        <v>27283</v>
      </c>
      <c r="AH59">
        <v>29464.2</v>
      </c>
      <c r="AL59">
        <v>39646.199999999997</v>
      </c>
      <c r="AP59">
        <v>35929.300000000003</v>
      </c>
      <c r="AR59">
        <v>40257.5</v>
      </c>
      <c r="AT59">
        <v>49191.1</v>
      </c>
      <c r="AV59">
        <v>60162.5</v>
      </c>
      <c r="AX59">
        <v>60250.8</v>
      </c>
      <c r="AZ59">
        <v>61099.1</v>
      </c>
      <c r="BB59">
        <v>65241.599999999999</v>
      </c>
      <c r="BD59">
        <v>70299.8</v>
      </c>
      <c r="BF59">
        <v>86162</v>
      </c>
      <c r="BH59">
        <v>115094.5</v>
      </c>
      <c r="BJ59">
        <v>57344.3</v>
      </c>
      <c r="BL59">
        <v>74126.600000000006</v>
      </c>
      <c r="BN59">
        <v>62128.1</v>
      </c>
      <c r="BP59">
        <v>62725.3</v>
      </c>
      <c r="BR59">
        <v>57485.3</v>
      </c>
    </row>
    <row r="60" spans="1:73" x14ac:dyDescent="0.3">
      <c r="A60" t="s">
        <v>273</v>
      </c>
      <c r="E60">
        <v>11387</v>
      </c>
      <c r="F60">
        <v>11935.3</v>
      </c>
      <c r="J60">
        <v>16005.8</v>
      </c>
      <c r="N60">
        <v>17205.900000000001</v>
      </c>
      <c r="R60">
        <v>17346.099999999999</v>
      </c>
      <c r="V60">
        <v>21543.7</v>
      </c>
      <c r="Z60">
        <v>25271.8</v>
      </c>
      <c r="AD60">
        <v>33508</v>
      </c>
      <c r="AH60">
        <v>35267.199999999997</v>
      </c>
      <c r="AL60">
        <v>45852.2</v>
      </c>
      <c r="AP60">
        <v>46825.3</v>
      </c>
      <c r="AR60">
        <v>50501.5</v>
      </c>
      <c r="AT60">
        <v>58102.1</v>
      </c>
      <c r="AV60">
        <v>69595.5</v>
      </c>
      <c r="AX60">
        <v>70393.8</v>
      </c>
      <c r="AZ60">
        <v>71645.100000000006</v>
      </c>
      <c r="BB60">
        <v>76916.600000000006</v>
      </c>
      <c r="BD60">
        <v>85889.8</v>
      </c>
      <c r="BF60">
        <v>104205</v>
      </c>
      <c r="BH60">
        <v>162333.5</v>
      </c>
      <c r="BJ60">
        <v>103308.3</v>
      </c>
      <c r="BL60">
        <v>118880.6</v>
      </c>
      <c r="BN60">
        <v>105382.1</v>
      </c>
      <c r="BP60">
        <v>101524.3</v>
      </c>
      <c r="BR60">
        <v>99255.3</v>
      </c>
    </row>
  </sheetData>
  <sheetProtection algorithmName="SHA-512" hashValue="yJTPCK8T8yCR46Z4T9pyNH/QiWHKq2DCr2/qk0dhhmj4jtJVoSYCt/d2y3ztK5cgYUWoJ3GWGwCP83xNYAdJfw==" saltValue="LwtHhJHnEnLtvUEossngLQ==" spinCount="100000" sheet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A7778-2D5D-4FF3-9084-B0EC55CF7892}">
  <sheetPr>
    <tabColor theme="6" tint="0.59999389629810485"/>
  </sheetPr>
  <dimension ref="A2:BU67"/>
  <sheetViews>
    <sheetView workbookViewId="0">
      <pane xSplit="1" ySplit="4" topLeftCell="BC5" activePane="bottomRight" state="frozen"/>
      <selection pane="topRight" activeCell="B1" sqref="B1"/>
      <selection pane="bottomLeft" activeCell="A5" sqref="A5"/>
      <selection pane="bottomRight" activeCell="BD13" sqref="BD13"/>
    </sheetView>
  </sheetViews>
  <sheetFormatPr defaultRowHeight="14.4" x14ac:dyDescent="0.3"/>
  <cols>
    <col min="1" max="1" width="23.6640625" bestFit="1" customWidth="1"/>
    <col min="2" max="73" width="11.109375" bestFit="1" customWidth="1"/>
  </cols>
  <sheetData>
    <row r="2" spans="1:73" x14ac:dyDescent="0.3">
      <c r="A2" t="s">
        <v>133</v>
      </c>
      <c r="B2">
        <v>1995</v>
      </c>
      <c r="C2">
        <v>1996</v>
      </c>
      <c r="D2">
        <v>1997</v>
      </c>
      <c r="E2">
        <v>1998</v>
      </c>
      <c r="F2">
        <v>1999</v>
      </c>
      <c r="G2">
        <v>2000</v>
      </c>
      <c r="H2">
        <v>2000</v>
      </c>
      <c r="I2">
        <v>2000</v>
      </c>
      <c r="J2">
        <v>2000</v>
      </c>
      <c r="K2">
        <v>2001</v>
      </c>
      <c r="L2">
        <v>2001</v>
      </c>
      <c r="M2">
        <v>2001</v>
      </c>
      <c r="N2">
        <v>2001</v>
      </c>
      <c r="O2">
        <v>2002</v>
      </c>
      <c r="P2">
        <v>2002</v>
      </c>
      <c r="Q2">
        <v>2002</v>
      </c>
      <c r="R2">
        <v>2002</v>
      </c>
      <c r="S2">
        <v>2003</v>
      </c>
      <c r="T2">
        <v>2003</v>
      </c>
      <c r="U2">
        <v>2003</v>
      </c>
      <c r="V2">
        <v>2003</v>
      </c>
      <c r="W2">
        <v>2004</v>
      </c>
      <c r="X2">
        <v>2004</v>
      </c>
      <c r="Y2">
        <v>2004</v>
      </c>
      <c r="Z2">
        <v>2004</v>
      </c>
      <c r="AA2">
        <v>2005</v>
      </c>
      <c r="AB2">
        <v>2005</v>
      </c>
      <c r="AC2">
        <v>2005</v>
      </c>
      <c r="AD2">
        <v>2005</v>
      </c>
      <c r="AE2">
        <v>2006</v>
      </c>
      <c r="AF2">
        <v>2006</v>
      </c>
      <c r="AG2">
        <v>2006</v>
      </c>
      <c r="AH2">
        <v>2006</v>
      </c>
      <c r="AI2">
        <v>2007</v>
      </c>
      <c r="AJ2">
        <v>2007</v>
      </c>
      <c r="AK2">
        <v>2007</v>
      </c>
      <c r="AL2">
        <v>2007</v>
      </c>
      <c r="AM2">
        <v>2008</v>
      </c>
      <c r="AN2">
        <v>2008</v>
      </c>
      <c r="AO2">
        <v>2008</v>
      </c>
      <c r="AP2">
        <v>2008</v>
      </c>
      <c r="AQ2">
        <v>2009</v>
      </c>
      <c r="AR2">
        <v>2009</v>
      </c>
      <c r="AS2">
        <v>2010</v>
      </c>
      <c r="AT2">
        <v>2010</v>
      </c>
      <c r="AU2">
        <v>2011</v>
      </c>
      <c r="AV2">
        <v>2011</v>
      </c>
      <c r="AW2">
        <v>2012</v>
      </c>
      <c r="AX2">
        <v>2012</v>
      </c>
      <c r="AY2">
        <v>2013</v>
      </c>
      <c r="AZ2">
        <v>2013</v>
      </c>
      <c r="BA2">
        <v>2014</v>
      </c>
      <c r="BB2">
        <v>2014</v>
      </c>
      <c r="BC2">
        <v>2015</v>
      </c>
      <c r="BD2">
        <v>2015</v>
      </c>
      <c r="BE2">
        <v>2016</v>
      </c>
      <c r="BF2">
        <v>2016</v>
      </c>
      <c r="BG2">
        <v>2017</v>
      </c>
      <c r="BH2">
        <v>2017</v>
      </c>
      <c r="BI2">
        <v>2018</v>
      </c>
      <c r="BJ2">
        <v>2018</v>
      </c>
      <c r="BK2">
        <v>2019</v>
      </c>
      <c r="BL2">
        <v>2019</v>
      </c>
      <c r="BM2">
        <v>2020</v>
      </c>
      <c r="BN2">
        <v>2020</v>
      </c>
      <c r="BO2">
        <v>2021</v>
      </c>
      <c r="BP2">
        <v>2021</v>
      </c>
      <c r="BQ2">
        <v>2022</v>
      </c>
      <c r="BR2">
        <v>2022</v>
      </c>
      <c r="BS2">
        <v>2023</v>
      </c>
      <c r="BT2">
        <v>2024</v>
      </c>
      <c r="BU2">
        <v>2025</v>
      </c>
    </row>
    <row r="3" spans="1:73" x14ac:dyDescent="0.3">
      <c r="A3" t="s">
        <v>139</v>
      </c>
      <c r="B3" s="66">
        <v>35064</v>
      </c>
      <c r="C3" s="66">
        <v>35430</v>
      </c>
      <c r="D3" s="66">
        <v>35795</v>
      </c>
      <c r="E3" s="66">
        <v>36160</v>
      </c>
      <c r="F3" s="66">
        <v>36525</v>
      </c>
      <c r="G3" s="66">
        <v>36616</v>
      </c>
      <c r="H3" s="66">
        <v>36707</v>
      </c>
      <c r="I3" s="66">
        <v>36799</v>
      </c>
      <c r="J3" s="66">
        <v>36891</v>
      </c>
      <c r="K3" s="66">
        <v>36981</v>
      </c>
      <c r="L3" s="66">
        <v>37072</v>
      </c>
      <c r="M3" s="66">
        <v>37164</v>
      </c>
      <c r="N3" s="66">
        <v>37256</v>
      </c>
      <c r="O3" s="66">
        <v>37346</v>
      </c>
      <c r="P3" s="66">
        <v>37437</v>
      </c>
      <c r="Q3" s="66">
        <v>37529</v>
      </c>
      <c r="R3" s="66">
        <v>37621</v>
      </c>
      <c r="S3" s="66">
        <v>37711</v>
      </c>
      <c r="T3" s="66">
        <v>37802</v>
      </c>
      <c r="U3" s="66">
        <v>37894</v>
      </c>
      <c r="V3" s="66">
        <v>37986</v>
      </c>
      <c r="W3" s="66">
        <v>38077</v>
      </c>
      <c r="X3" s="66">
        <v>38168</v>
      </c>
      <c r="Y3" s="66">
        <v>38260</v>
      </c>
      <c r="Z3" s="66">
        <v>38352</v>
      </c>
      <c r="AA3" s="66">
        <v>38442</v>
      </c>
      <c r="AB3" s="66">
        <v>38533</v>
      </c>
      <c r="AC3" s="66">
        <v>38625</v>
      </c>
      <c r="AD3" s="66">
        <v>38717</v>
      </c>
      <c r="AE3" s="66">
        <v>38807</v>
      </c>
      <c r="AF3" s="66">
        <v>38898</v>
      </c>
      <c r="AG3" s="66">
        <v>38990</v>
      </c>
      <c r="AH3" s="66">
        <v>39082</v>
      </c>
      <c r="AI3" s="66">
        <v>39172</v>
      </c>
      <c r="AJ3" s="66">
        <v>39263</v>
      </c>
      <c r="AK3" s="66">
        <v>39355</v>
      </c>
      <c r="AL3" s="66">
        <v>39447</v>
      </c>
      <c r="AM3" s="66">
        <v>39538</v>
      </c>
      <c r="AN3" s="66">
        <v>39629</v>
      </c>
      <c r="AO3" s="66">
        <v>39721</v>
      </c>
      <c r="AP3" s="66">
        <v>39813</v>
      </c>
      <c r="AQ3" s="66">
        <v>39994</v>
      </c>
      <c r="AR3" s="66">
        <v>40178</v>
      </c>
      <c r="AS3" s="66">
        <v>40359</v>
      </c>
      <c r="AT3" s="66">
        <v>40543</v>
      </c>
      <c r="AU3" s="66">
        <v>40724</v>
      </c>
      <c r="AV3" s="66">
        <v>40908</v>
      </c>
      <c r="AW3" s="66">
        <v>41090</v>
      </c>
      <c r="AX3" s="66">
        <v>41274</v>
      </c>
      <c r="AY3" s="66">
        <v>41455</v>
      </c>
      <c r="AZ3" s="66">
        <v>41639</v>
      </c>
      <c r="BA3" s="66">
        <v>41820</v>
      </c>
      <c r="BB3" s="66">
        <v>42004</v>
      </c>
      <c r="BC3" s="66">
        <v>42185</v>
      </c>
      <c r="BD3" s="66">
        <v>42369</v>
      </c>
      <c r="BE3" s="66">
        <v>42551</v>
      </c>
      <c r="BF3" s="66">
        <v>42735</v>
      </c>
      <c r="BG3" s="66">
        <v>42916</v>
      </c>
      <c r="BH3" s="66">
        <v>43100</v>
      </c>
      <c r="BI3" s="66">
        <v>43281</v>
      </c>
      <c r="BJ3" s="66">
        <v>43465</v>
      </c>
      <c r="BK3" s="66">
        <v>43646</v>
      </c>
      <c r="BL3" s="66">
        <v>43830</v>
      </c>
      <c r="BM3" s="66">
        <v>44012</v>
      </c>
      <c r="BN3" s="66">
        <v>44196</v>
      </c>
      <c r="BO3" s="66">
        <v>44377</v>
      </c>
      <c r="BP3" s="66">
        <v>44561</v>
      </c>
      <c r="BQ3" s="66">
        <v>44742</v>
      </c>
      <c r="BR3" s="66">
        <v>44926</v>
      </c>
      <c r="BS3" s="66">
        <v>45291</v>
      </c>
      <c r="BT3" s="66">
        <v>45657</v>
      </c>
      <c r="BU3" s="66">
        <v>46022</v>
      </c>
    </row>
    <row r="4" spans="1:73" x14ac:dyDescent="0.3">
      <c r="A4" t="s">
        <v>140</v>
      </c>
      <c r="B4" t="s">
        <v>279</v>
      </c>
      <c r="C4" t="s">
        <v>279</v>
      </c>
      <c r="D4" t="s">
        <v>279</v>
      </c>
      <c r="E4" t="s">
        <v>279</v>
      </c>
      <c r="F4" t="s">
        <v>279</v>
      </c>
      <c r="G4" t="s">
        <v>306</v>
      </c>
      <c r="H4" t="s">
        <v>300</v>
      </c>
      <c r="I4" t="s">
        <v>307</v>
      </c>
      <c r="J4" t="s">
        <v>279</v>
      </c>
      <c r="K4" t="s">
        <v>306</v>
      </c>
      <c r="L4" t="s">
        <v>300</v>
      </c>
      <c r="M4" t="s">
        <v>307</v>
      </c>
      <c r="N4" t="s">
        <v>279</v>
      </c>
      <c r="O4" t="s">
        <v>306</v>
      </c>
      <c r="P4" t="s">
        <v>300</v>
      </c>
      <c r="Q4" t="s">
        <v>307</v>
      </c>
      <c r="R4" t="s">
        <v>279</v>
      </c>
      <c r="S4" t="s">
        <v>306</v>
      </c>
      <c r="T4" t="s">
        <v>300</v>
      </c>
      <c r="U4" t="s">
        <v>307</v>
      </c>
      <c r="V4" t="s">
        <v>279</v>
      </c>
      <c r="W4" t="s">
        <v>306</v>
      </c>
      <c r="X4" t="s">
        <v>300</v>
      </c>
      <c r="Y4" t="s">
        <v>307</v>
      </c>
      <c r="Z4" t="s">
        <v>279</v>
      </c>
      <c r="AA4" t="s">
        <v>306</v>
      </c>
      <c r="AB4" t="s">
        <v>300</v>
      </c>
      <c r="AC4" t="s">
        <v>307</v>
      </c>
      <c r="AD4" t="s">
        <v>279</v>
      </c>
      <c r="AE4" t="s">
        <v>306</v>
      </c>
      <c r="AF4" t="s">
        <v>300</v>
      </c>
      <c r="AG4" t="s">
        <v>307</v>
      </c>
      <c r="AH4" t="s">
        <v>279</v>
      </c>
      <c r="AI4" t="s">
        <v>306</v>
      </c>
      <c r="AJ4" t="s">
        <v>300</v>
      </c>
      <c r="AK4" t="s">
        <v>307</v>
      </c>
      <c r="AL4" t="s">
        <v>279</v>
      </c>
      <c r="AM4" t="s">
        <v>306</v>
      </c>
      <c r="AN4" t="s">
        <v>300</v>
      </c>
      <c r="AO4" t="s">
        <v>307</v>
      </c>
      <c r="AP4" t="s">
        <v>279</v>
      </c>
      <c r="AQ4" t="s">
        <v>300</v>
      </c>
      <c r="AR4" t="s">
        <v>279</v>
      </c>
      <c r="AS4" t="s">
        <v>300</v>
      </c>
      <c r="AT4" t="s">
        <v>279</v>
      </c>
      <c r="AU4" t="s">
        <v>300</v>
      </c>
      <c r="AV4" t="s">
        <v>279</v>
      </c>
      <c r="AW4" t="s">
        <v>300</v>
      </c>
      <c r="AX4" t="s">
        <v>279</v>
      </c>
      <c r="AY4" t="s">
        <v>300</v>
      </c>
      <c r="AZ4" t="s">
        <v>279</v>
      </c>
      <c r="BA4" t="s">
        <v>300</v>
      </c>
      <c r="BB4" t="s">
        <v>279</v>
      </c>
      <c r="BC4" t="s">
        <v>300</v>
      </c>
      <c r="BD4" t="s">
        <v>279</v>
      </c>
      <c r="BE4" t="s">
        <v>300</v>
      </c>
      <c r="BF4" t="s">
        <v>279</v>
      </c>
      <c r="BG4" t="s">
        <v>300</v>
      </c>
      <c r="BH4" t="s">
        <v>279</v>
      </c>
      <c r="BI4" t="s">
        <v>300</v>
      </c>
      <c r="BJ4" t="s">
        <v>279</v>
      </c>
      <c r="BK4" t="s">
        <v>300</v>
      </c>
      <c r="BL4" t="s">
        <v>279</v>
      </c>
      <c r="BM4" t="s">
        <v>300</v>
      </c>
      <c r="BN4" t="s">
        <v>279</v>
      </c>
      <c r="BO4" t="s">
        <v>300</v>
      </c>
      <c r="BP4" t="s">
        <v>279</v>
      </c>
      <c r="BQ4" t="s">
        <v>300</v>
      </c>
      <c r="BR4" t="s">
        <v>279</v>
      </c>
      <c r="BS4" t="s">
        <v>308</v>
      </c>
      <c r="BT4" t="s">
        <v>308</v>
      </c>
      <c r="BU4" t="s">
        <v>308</v>
      </c>
    </row>
    <row r="5" spans="1:73" x14ac:dyDescent="0.3">
      <c r="A5" t="s">
        <v>141</v>
      </c>
    </row>
    <row r="6" spans="1:73" x14ac:dyDescent="0.3">
      <c r="A6" t="s">
        <v>189</v>
      </c>
    </row>
    <row r="7" spans="1:73" x14ac:dyDescent="0.3">
      <c r="A7" t="s">
        <v>190</v>
      </c>
      <c r="B7">
        <v>614</v>
      </c>
      <c r="C7">
        <v>558</v>
      </c>
      <c r="D7">
        <v>519</v>
      </c>
      <c r="E7">
        <v>532</v>
      </c>
      <c r="F7">
        <v>945</v>
      </c>
      <c r="J7">
        <v>1043</v>
      </c>
      <c r="N7">
        <v>1002</v>
      </c>
      <c r="R7">
        <v>919</v>
      </c>
      <c r="V7">
        <v>1274</v>
      </c>
      <c r="Z7">
        <v>946</v>
      </c>
      <c r="AB7">
        <v>32</v>
      </c>
      <c r="AD7">
        <v>1093</v>
      </c>
      <c r="AH7">
        <v>1083</v>
      </c>
      <c r="AJ7">
        <v>1503</v>
      </c>
      <c r="AL7">
        <v>1272</v>
      </c>
      <c r="AN7">
        <v>1749</v>
      </c>
      <c r="AP7">
        <v>1789</v>
      </c>
      <c r="AQ7">
        <v>2237</v>
      </c>
      <c r="AR7">
        <v>1732</v>
      </c>
      <c r="AS7">
        <v>2465</v>
      </c>
      <c r="AT7">
        <v>1831</v>
      </c>
      <c r="AU7">
        <v>2517</v>
      </c>
      <c r="AV7">
        <v>2423</v>
      </c>
      <c r="AW7">
        <v>2699</v>
      </c>
      <c r="AX7">
        <v>2741</v>
      </c>
      <c r="AY7">
        <v>3019</v>
      </c>
      <c r="AZ7">
        <v>2876</v>
      </c>
      <c r="BA7">
        <v>2601</v>
      </c>
      <c r="BB7">
        <v>2768</v>
      </c>
      <c r="BC7">
        <v>2516</v>
      </c>
      <c r="BD7">
        <v>3266</v>
      </c>
      <c r="BE7">
        <v>3390</v>
      </c>
      <c r="BF7">
        <v>3884</v>
      </c>
      <c r="BG7">
        <v>3833</v>
      </c>
      <c r="BH7">
        <v>4053</v>
      </c>
      <c r="BI7">
        <v>4039</v>
      </c>
      <c r="BJ7">
        <v>3588</v>
      </c>
      <c r="BK7">
        <v>3952</v>
      </c>
      <c r="BL7">
        <v>4093</v>
      </c>
      <c r="BM7">
        <v>4484</v>
      </c>
      <c r="BN7">
        <v>3721</v>
      </c>
      <c r="BO7">
        <v>3934</v>
      </c>
      <c r="BP7">
        <v>3951</v>
      </c>
      <c r="BQ7">
        <v>3649</v>
      </c>
      <c r="BR7">
        <v>4367</v>
      </c>
    </row>
    <row r="8" spans="1:73" x14ac:dyDescent="0.3">
      <c r="A8" t="s">
        <v>191</v>
      </c>
      <c r="B8">
        <v>1000</v>
      </c>
      <c r="C8">
        <v>1097</v>
      </c>
      <c r="D8">
        <v>1344</v>
      </c>
      <c r="E8">
        <v>460</v>
      </c>
      <c r="F8">
        <v>689</v>
      </c>
      <c r="J8">
        <v>898</v>
      </c>
      <c r="N8">
        <v>905</v>
      </c>
      <c r="R8">
        <v>903</v>
      </c>
      <c r="V8">
        <v>1006</v>
      </c>
      <c r="Z8">
        <v>263</v>
      </c>
      <c r="AD8">
        <v>395</v>
      </c>
      <c r="AH8">
        <v>397</v>
      </c>
      <c r="AL8">
        <v>460</v>
      </c>
      <c r="AP8">
        <v>504</v>
      </c>
      <c r="AR8">
        <v>535</v>
      </c>
      <c r="AT8">
        <v>445</v>
      </c>
    </row>
    <row r="9" spans="1:73" x14ac:dyDescent="0.3">
      <c r="A9" t="s">
        <v>192</v>
      </c>
      <c r="B9">
        <v>216</v>
      </c>
      <c r="C9">
        <v>293</v>
      </c>
      <c r="D9">
        <v>393</v>
      </c>
      <c r="E9">
        <v>501</v>
      </c>
      <c r="F9">
        <v>366</v>
      </c>
      <c r="J9">
        <v>312</v>
      </c>
      <c r="N9">
        <v>266</v>
      </c>
      <c r="R9">
        <v>260</v>
      </c>
      <c r="V9">
        <v>291</v>
      </c>
      <c r="X9">
        <v>1729</v>
      </c>
      <c r="Z9">
        <v>264</v>
      </c>
      <c r="AB9">
        <v>1440</v>
      </c>
      <c r="AD9">
        <v>170</v>
      </c>
      <c r="AF9">
        <v>1635</v>
      </c>
      <c r="AH9">
        <v>147</v>
      </c>
      <c r="AL9">
        <v>198</v>
      </c>
      <c r="AP9">
        <v>239</v>
      </c>
      <c r="AR9">
        <v>174</v>
      </c>
      <c r="AT9">
        <v>206</v>
      </c>
    </row>
    <row r="10" spans="1:73" x14ac:dyDescent="0.3">
      <c r="A10" t="s">
        <v>193</v>
      </c>
      <c r="B10">
        <v>1830</v>
      </c>
      <c r="C10">
        <v>1948</v>
      </c>
      <c r="D10">
        <v>2256</v>
      </c>
      <c r="E10">
        <v>1493</v>
      </c>
      <c r="F10">
        <v>2000</v>
      </c>
      <c r="J10">
        <v>2253</v>
      </c>
      <c r="N10">
        <v>2173</v>
      </c>
      <c r="R10">
        <v>2082</v>
      </c>
      <c r="V10">
        <v>2571</v>
      </c>
      <c r="X10">
        <v>1729</v>
      </c>
      <c r="Z10">
        <v>1473</v>
      </c>
      <c r="AB10">
        <v>1472</v>
      </c>
      <c r="AD10">
        <v>1658</v>
      </c>
      <c r="AF10">
        <v>1635</v>
      </c>
      <c r="AH10">
        <v>1627</v>
      </c>
      <c r="AJ10">
        <v>1503</v>
      </c>
      <c r="AL10">
        <v>1930</v>
      </c>
      <c r="AN10">
        <v>1749</v>
      </c>
      <c r="AP10">
        <v>2532</v>
      </c>
      <c r="AQ10">
        <v>2237</v>
      </c>
      <c r="AR10">
        <v>2441</v>
      </c>
      <c r="AS10">
        <v>2465</v>
      </c>
      <c r="AT10">
        <v>2482</v>
      </c>
      <c r="AU10">
        <v>2517</v>
      </c>
      <c r="AV10">
        <v>2423</v>
      </c>
      <c r="AW10">
        <v>2699</v>
      </c>
      <c r="AX10">
        <v>2741</v>
      </c>
      <c r="AY10">
        <v>3019</v>
      </c>
      <c r="AZ10">
        <v>2876</v>
      </c>
      <c r="BA10">
        <v>2601</v>
      </c>
      <c r="BB10">
        <v>2768</v>
      </c>
      <c r="BC10">
        <v>2516</v>
      </c>
      <c r="BD10">
        <v>3266</v>
      </c>
      <c r="BE10">
        <v>3390</v>
      </c>
      <c r="BF10">
        <v>3884</v>
      </c>
      <c r="BG10">
        <v>3833</v>
      </c>
      <c r="BH10">
        <v>4053</v>
      </c>
      <c r="BI10">
        <v>4039</v>
      </c>
      <c r="BJ10">
        <v>3588</v>
      </c>
      <c r="BK10">
        <v>3952</v>
      </c>
      <c r="BL10">
        <v>4093</v>
      </c>
      <c r="BM10">
        <v>4484</v>
      </c>
      <c r="BN10">
        <v>3721</v>
      </c>
      <c r="BO10">
        <v>3934</v>
      </c>
      <c r="BP10">
        <v>3951</v>
      </c>
      <c r="BQ10">
        <v>3649</v>
      </c>
      <c r="BR10">
        <v>4367</v>
      </c>
    </row>
    <row r="11" spans="1:73" x14ac:dyDescent="0.3">
      <c r="A11" t="s">
        <v>194</v>
      </c>
    </row>
    <row r="12" spans="1:73" x14ac:dyDescent="0.3">
      <c r="A12" t="s">
        <v>195</v>
      </c>
      <c r="AV12">
        <v>127</v>
      </c>
      <c r="AX12">
        <v>83</v>
      </c>
      <c r="AY12">
        <v>80</v>
      </c>
      <c r="AZ12">
        <v>95</v>
      </c>
      <c r="BA12">
        <v>84</v>
      </c>
      <c r="BB12">
        <v>57</v>
      </c>
      <c r="BC12">
        <v>77</v>
      </c>
      <c r="BD12">
        <v>74</v>
      </c>
      <c r="BE12">
        <v>81</v>
      </c>
      <c r="BF12">
        <v>69</v>
      </c>
      <c r="BG12">
        <v>71</v>
      </c>
      <c r="BH12">
        <v>460</v>
      </c>
      <c r="BI12">
        <v>49</v>
      </c>
      <c r="BJ12">
        <v>74</v>
      </c>
      <c r="BK12">
        <v>94</v>
      </c>
      <c r="BL12">
        <v>122</v>
      </c>
      <c r="BM12">
        <v>108</v>
      </c>
      <c r="BN12">
        <v>79</v>
      </c>
      <c r="BO12">
        <v>146</v>
      </c>
      <c r="BP12">
        <v>117</v>
      </c>
      <c r="BQ12">
        <v>145</v>
      </c>
      <c r="BR12">
        <v>149</v>
      </c>
    </row>
    <row r="13" spans="1:73" x14ac:dyDescent="0.3">
      <c r="A13" t="s">
        <v>196</v>
      </c>
      <c r="B13">
        <v>2182</v>
      </c>
      <c r="C13">
        <v>2086</v>
      </c>
      <c r="D13">
        <v>2173</v>
      </c>
      <c r="E13">
        <v>2165</v>
      </c>
      <c r="F13">
        <v>2850</v>
      </c>
      <c r="H13">
        <v>3351</v>
      </c>
      <c r="J13">
        <v>3053</v>
      </c>
      <c r="L13">
        <v>3004</v>
      </c>
      <c r="N13">
        <v>2748</v>
      </c>
      <c r="P13">
        <v>2775</v>
      </c>
      <c r="R13">
        <v>2599</v>
      </c>
      <c r="T13">
        <v>2674</v>
      </c>
      <c r="V13">
        <v>2582</v>
      </c>
      <c r="X13">
        <v>2598</v>
      </c>
      <c r="Z13">
        <v>2143</v>
      </c>
      <c r="AB13">
        <v>2331</v>
      </c>
      <c r="AD13">
        <v>2274</v>
      </c>
      <c r="AF13">
        <v>2362</v>
      </c>
      <c r="AH13">
        <v>2056</v>
      </c>
      <c r="AJ13">
        <v>2208</v>
      </c>
      <c r="AL13">
        <v>1985</v>
      </c>
      <c r="AN13">
        <v>2637</v>
      </c>
      <c r="AP13">
        <v>3177</v>
      </c>
      <c r="AQ13">
        <v>3451</v>
      </c>
      <c r="AR13">
        <v>3261</v>
      </c>
      <c r="AS13">
        <v>3522</v>
      </c>
      <c r="AT13">
        <v>3608</v>
      </c>
      <c r="AU13">
        <v>3824</v>
      </c>
      <c r="AV13">
        <v>3498</v>
      </c>
      <c r="AW13">
        <v>3984</v>
      </c>
      <c r="AX13">
        <v>4026</v>
      </c>
      <c r="AY13">
        <v>4046</v>
      </c>
      <c r="AZ13">
        <v>4042</v>
      </c>
      <c r="BA13">
        <v>4030</v>
      </c>
      <c r="BB13">
        <v>4133</v>
      </c>
      <c r="BC13">
        <v>3766</v>
      </c>
      <c r="BD13">
        <v>4247</v>
      </c>
      <c r="BE13">
        <v>4725</v>
      </c>
      <c r="BF13">
        <v>5793</v>
      </c>
      <c r="BG13">
        <v>5177</v>
      </c>
      <c r="BH13">
        <v>5864</v>
      </c>
      <c r="BI13">
        <v>6339</v>
      </c>
      <c r="BJ13">
        <v>6029</v>
      </c>
      <c r="BK13">
        <v>6709</v>
      </c>
      <c r="BL13">
        <v>6094</v>
      </c>
      <c r="BM13">
        <v>6796</v>
      </c>
      <c r="BN13">
        <v>5998</v>
      </c>
      <c r="BO13">
        <v>6408</v>
      </c>
      <c r="BP13">
        <v>5279</v>
      </c>
      <c r="BQ13">
        <v>5952</v>
      </c>
      <c r="BR13">
        <v>5671</v>
      </c>
    </row>
    <row r="14" spans="1:73" x14ac:dyDescent="0.3">
      <c r="A14" t="s">
        <v>197</v>
      </c>
      <c r="B14">
        <v>221</v>
      </c>
      <c r="C14">
        <v>293</v>
      </c>
      <c r="D14">
        <v>166</v>
      </c>
      <c r="E14">
        <v>185</v>
      </c>
      <c r="F14">
        <v>768</v>
      </c>
      <c r="H14">
        <v>341</v>
      </c>
      <c r="J14">
        <v>221</v>
      </c>
      <c r="L14">
        <v>318</v>
      </c>
      <c r="N14">
        <v>331</v>
      </c>
      <c r="P14">
        <v>155</v>
      </c>
      <c r="R14">
        <v>163</v>
      </c>
      <c r="T14">
        <v>177</v>
      </c>
      <c r="V14">
        <v>108</v>
      </c>
      <c r="X14">
        <v>91</v>
      </c>
      <c r="Z14">
        <v>86</v>
      </c>
      <c r="AB14">
        <v>109</v>
      </c>
      <c r="AD14">
        <v>96</v>
      </c>
      <c r="AF14">
        <v>127</v>
      </c>
      <c r="AH14">
        <v>128</v>
      </c>
      <c r="AJ14">
        <v>95</v>
      </c>
      <c r="AL14">
        <v>75</v>
      </c>
      <c r="AN14">
        <v>76</v>
      </c>
      <c r="AP14">
        <v>79</v>
      </c>
      <c r="AQ14">
        <v>80</v>
      </c>
      <c r="AR14">
        <v>57</v>
      </c>
      <c r="AS14">
        <v>58</v>
      </c>
      <c r="AT14">
        <v>58</v>
      </c>
      <c r="AU14">
        <v>46</v>
      </c>
      <c r="AV14">
        <v>57</v>
      </c>
      <c r="AW14">
        <v>45</v>
      </c>
      <c r="AX14">
        <v>26</v>
      </c>
      <c r="AY14">
        <v>46</v>
      </c>
      <c r="AZ14">
        <v>54</v>
      </c>
      <c r="BA14">
        <v>42</v>
      </c>
      <c r="BB14">
        <v>50</v>
      </c>
      <c r="BC14">
        <v>50</v>
      </c>
      <c r="BD14">
        <v>35</v>
      </c>
      <c r="BE14">
        <v>61</v>
      </c>
      <c r="BF14">
        <v>15</v>
      </c>
      <c r="BG14">
        <v>26</v>
      </c>
      <c r="BH14">
        <v>65</v>
      </c>
      <c r="BI14">
        <v>188</v>
      </c>
      <c r="BJ14">
        <v>178</v>
      </c>
      <c r="BK14">
        <v>167</v>
      </c>
      <c r="BL14">
        <v>123</v>
      </c>
      <c r="BM14">
        <v>183</v>
      </c>
      <c r="BN14">
        <v>242</v>
      </c>
      <c r="BO14">
        <v>336</v>
      </c>
      <c r="BP14">
        <v>456</v>
      </c>
      <c r="BQ14">
        <v>571</v>
      </c>
      <c r="BR14">
        <v>579</v>
      </c>
    </row>
    <row r="15" spans="1:73" x14ac:dyDescent="0.3">
      <c r="A15" t="s">
        <v>198</v>
      </c>
      <c r="B15">
        <v>1231</v>
      </c>
      <c r="C15">
        <v>1399</v>
      </c>
      <c r="D15">
        <v>1310</v>
      </c>
      <c r="E15">
        <v>970</v>
      </c>
      <c r="F15">
        <v>1853</v>
      </c>
      <c r="H15">
        <v>2020</v>
      </c>
      <c r="J15">
        <v>1667</v>
      </c>
      <c r="L15">
        <v>1461</v>
      </c>
      <c r="N15">
        <v>1968</v>
      </c>
      <c r="P15">
        <v>1501</v>
      </c>
      <c r="R15">
        <v>1772</v>
      </c>
      <c r="T15">
        <v>1191</v>
      </c>
      <c r="V15">
        <v>2283</v>
      </c>
      <c r="X15">
        <v>1574</v>
      </c>
      <c r="Z15">
        <v>1851</v>
      </c>
      <c r="AB15">
        <v>1860</v>
      </c>
      <c r="AD15">
        <v>1790</v>
      </c>
      <c r="AF15">
        <v>1926</v>
      </c>
      <c r="AH15">
        <v>1456</v>
      </c>
      <c r="AJ15">
        <v>1141</v>
      </c>
      <c r="AL15">
        <v>1258</v>
      </c>
      <c r="AN15">
        <v>2326</v>
      </c>
      <c r="AP15">
        <v>2309</v>
      </c>
      <c r="AQ15">
        <v>1304</v>
      </c>
      <c r="AR15">
        <v>2161</v>
      </c>
      <c r="AS15">
        <v>1497</v>
      </c>
      <c r="AT15">
        <v>2329</v>
      </c>
      <c r="AU15">
        <v>1717</v>
      </c>
      <c r="AV15">
        <v>2048</v>
      </c>
      <c r="AW15">
        <v>1749</v>
      </c>
      <c r="AX15">
        <v>1930</v>
      </c>
      <c r="AY15">
        <v>1726</v>
      </c>
      <c r="AZ15">
        <v>1948</v>
      </c>
      <c r="BA15">
        <v>1580</v>
      </c>
      <c r="BB15">
        <v>1628</v>
      </c>
      <c r="BC15">
        <v>1417</v>
      </c>
      <c r="BD15">
        <v>1794</v>
      </c>
      <c r="BE15">
        <v>1882</v>
      </c>
      <c r="BF15">
        <v>2047</v>
      </c>
      <c r="BG15">
        <v>2019</v>
      </c>
      <c r="BH15">
        <v>3131</v>
      </c>
      <c r="BI15">
        <v>2125</v>
      </c>
      <c r="BJ15">
        <v>2307</v>
      </c>
      <c r="BK15">
        <v>3308</v>
      </c>
      <c r="BL15">
        <v>1899</v>
      </c>
      <c r="BM15">
        <v>4784</v>
      </c>
      <c r="BN15">
        <v>1806</v>
      </c>
      <c r="BO15">
        <v>3014</v>
      </c>
      <c r="BP15">
        <v>1480</v>
      </c>
      <c r="BQ15">
        <v>3568</v>
      </c>
      <c r="BR15">
        <v>1711</v>
      </c>
    </row>
    <row r="16" spans="1:73" x14ac:dyDescent="0.3">
      <c r="A16" t="s">
        <v>199</v>
      </c>
      <c r="F16">
        <v>123</v>
      </c>
      <c r="H16">
        <v>2323</v>
      </c>
      <c r="J16">
        <v>57</v>
      </c>
      <c r="L16">
        <v>2224</v>
      </c>
      <c r="P16">
        <v>2081</v>
      </c>
      <c r="T16">
        <v>2213</v>
      </c>
      <c r="X16">
        <v>42</v>
      </c>
      <c r="Z16">
        <v>127</v>
      </c>
      <c r="AB16">
        <v>124</v>
      </c>
      <c r="AD16">
        <v>86</v>
      </c>
      <c r="AF16">
        <v>229</v>
      </c>
      <c r="AH16">
        <v>124</v>
      </c>
      <c r="AJ16">
        <v>196</v>
      </c>
      <c r="AL16">
        <v>118</v>
      </c>
      <c r="AN16">
        <v>582</v>
      </c>
      <c r="AP16">
        <v>642</v>
      </c>
      <c r="AQ16">
        <v>401</v>
      </c>
      <c r="AR16">
        <v>186</v>
      </c>
      <c r="AS16">
        <v>417</v>
      </c>
      <c r="AT16">
        <v>180</v>
      </c>
      <c r="AU16">
        <v>229</v>
      </c>
      <c r="AV16">
        <v>342</v>
      </c>
      <c r="AW16">
        <v>332</v>
      </c>
      <c r="AX16">
        <v>380</v>
      </c>
      <c r="AY16">
        <v>382</v>
      </c>
      <c r="AZ16">
        <v>503</v>
      </c>
      <c r="BA16">
        <v>292</v>
      </c>
      <c r="BB16">
        <v>496</v>
      </c>
      <c r="BC16">
        <v>345</v>
      </c>
      <c r="BD16">
        <v>398</v>
      </c>
      <c r="BE16">
        <v>550</v>
      </c>
      <c r="BF16">
        <v>551</v>
      </c>
      <c r="BG16">
        <v>348</v>
      </c>
      <c r="BH16">
        <v>393</v>
      </c>
      <c r="BI16">
        <v>197</v>
      </c>
      <c r="BJ16">
        <v>479</v>
      </c>
      <c r="BK16">
        <v>186</v>
      </c>
      <c r="BL16">
        <v>943</v>
      </c>
      <c r="BM16">
        <v>213</v>
      </c>
      <c r="BN16">
        <v>1766</v>
      </c>
      <c r="BO16">
        <v>513</v>
      </c>
      <c r="BP16">
        <v>1524</v>
      </c>
      <c r="BQ16">
        <v>824</v>
      </c>
      <c r="BR16">
        <v>2932</v>
      </c>
    </row>
    <row r="17" spans="1:70" x14ac:dyDescent="0.3">
      <c r="A17" t="s">
        <v>200</v>
      </c>
      <c r="B17">
        <v>5464</v>
      </c>
      <c r="C17">
        <v>5726</v>
      </c>
      <c r="D17">
        <v>5905</v>
      </c>
      <c r="E17">
        <v>4813</v>
      </c>
      <c r="F17">
        <v>7594</v>
      </c>
      <c r="H17">
        <v>8035</v>
      </c>
      <c r="J17">
        <v>7251</v>
      </c>
      <c r="L17">
        <v>7007</v>
      </c>
      <c r="N17">
        <v>7220</v>
      </c>
      <c r="P17">
        <v>6512</v>
      </c>
      <c r="R17">
        <v>6616</v>
      </c>
      <c r="T17">
        <v>6255</v>
      </c>
      <c r="V17">
        <v>7544</v>
      </c>
      <c r="X17">
        <v>6034</v>
      </c>
      <c r="Z17">
        <v>5680</v>
      </c>
      <c r="AB17">
        <v>5896</v>
      </c>
      <c r="AD17">
        <v>5904</v>
      </c>
      <c r="AF17">
        <v>6279</v>
      </c>
      <c r="AH17">
        <v>5391</v>
      </c>
      <c r="AJ17">
        <v>5143</v>
      </c>
      <c r="AL17">
        <v>5366</v>
      </c>
      <c r="AN17">
        <v>7370</v>
      </c>
      <c r="AP17">
        <v>8739</v>
      </c>
      <c r="AQ17">
        <v>7473</v>
      </c>
      <c r="AR17">
        <v>8106</v>
      </c>
      <c r="AS17">
        <v>7959</v>
      </c>
      <c r="AT17">
        <v>8657</v>
      </c>
      <c r="AU17">
        <v>8333</v>
      </c>
      <c r="AV17">
        <v>8495</v>
      </c>
      <c r="AW17">
        <v>8809</v>
      </c>
      <c r="AX17">
        <v>9186</v>
      </c>
      <c r="AY17">
        <v>9299</v>
      </c>
      <c r="AZ17">
        <v>9518</v>
      </c>
      <c r="BA17">
        <v>8629</v>
      </c>
      <c r="BB17">
        <v>9132</v>
      </c>
      <c r="BC17">
        <v>8171</v>
      </c>
      <c r="BD17">
        <v>9814</v>
      </c>
      <c r="BE17">
        <v>10689</v>
      </c>
      <c r="BF17">
        <v>12359</v>
      </c>
      <c r="BG17">
        <v>11474</v>
      </c>
      <c r="BH17">
        <v>13966</v>
      </c>
      <c r="BI17">
        <v>12937</v>
      </c>
      <c r="BJ17">
        <v>12655</v>
      </c>
      <c r="BK17">
        <v>14416</v>
      </c>
      <c r="BL17">
        <v>13274</v>
      </c>
      <c r="BM17">
        <v>16568</v>
      </c>
      <c r="BN17">
        <v>13612</v>
      </c>
      <c r="BO17">
        <v>14351</v>
      </c>
      <c r="BP17">
        <v>12807</v>
      </c>
      <c r="BQ17">
        <v>14709</v>
      </c>
      <c r="BR17">
        <v>15409</v>
      </c>
    </row>
    <row r="18" spans="1:70" x14ac:dyDescent="0.3">
      <c r="A18" t="s">
        <v>201</v>
      </c>
      <c r="AV18">
        <v>11120</v>
      </c>
      <c r="AX18">
        <v>10793</v>
      </c>
      <c r="AZ18">
        <v>10249</v>
      </c>
      <c r="BB18">
        <v>9842</v>
      </c>
      <c r="BD18">
        <v>9324</v>
      </c>
      <c r="BF18">
        <v>11023</v>
      </c>
      <c r="BH18">
        <v>44147</v>
      </c>
      <c r="BJ18">
        <v>46163</v>
      </c>
      <c r="BL18">
        <v>44316</v>
      </c>
      <c r="BN18">
        <v>43319</v>
      </c>
      <c r="BP18">
        <v>43194</v>
      </c>
      <c r="BR18">
        <v>47956</v>
      </c>
    </row>
    <row r="19" spans="1:70" x14ac:dyDescent="0.3">
      <c r="A19" t="s">
        <v>202</v>
      </c>
      <c r="F19">
        <v>5338</v>
      </c>
      <c r="H19">
        <v>7466</v>
      </c>
      <c r="J19">
        <v>7158</v>
      </c>
      <c r="L19">
        <v>7332</v>
      </c>
      <c r="N19">
        <v>6546</v>
      </c>
      <c r="P19">
        <v>6547</v>
      </c>
      <c r="R19">
        <v>6248</v>
      </c>
      <c r="T19">
        <v>6610</v>
      </c>
      <c r="V19">
        <v>8012</v>
      </c>
      <c r="X19">
        <v>7893</v>
      </c>
      <c r="Z19">
        <v>7700</v>
      </c>
      <c r="AB19">
        <v>7612</v>
      </c>
      <c r="AD19">
        <v>7987</v>
      </c>
      <c r="AF19">
        <v>7704</v>
      </c>
      <c r="AH19">
        <v>7476</v>
      </c>
      <c r="AJ19">
        <v>7561</v>
      </c>
      <c r="AL19">
        <v>8105</v>
      </c>
      <c r="AN19">
        <v>8872</v>
      </c>
      <c r="AP19">
        <v>12318</v>
      </c>
      <c r="AQ19">
        <v>11437</v>
      </c>
      <c r="AR19">
        <v>12232</v>
      </c>
      <c r="AS19">
        <v>12209</v>
      </c>
      <c r="AT19">
        <v>12458</v>
      </c>
      <c r="AU19">
        <v>12673</v>
      </c>
      <c r="AV19">
        <v>872</v>
      </c>
      <c r="AW19">
        <v>11795</v>
      </c>
      <c r="AX19">
        <v>917</v>
      </c>
      <c r="AY19">
        <v>11924</v>
      </c>
      <c r="AZ19">
        <v>956</v>
      </c>
      <c r="BA19">
        <v>10932</v>
      </c>
      <c r="BB19">
        <v>962</v>
      </c>
      <c r="BC19">
        <v>10128</v>
      </c>
      <c r="BD19">
        <v>1112</v>
      </c>
      <c r="BE19">
        <v>11780</v>
      </c>
      <c r="BF19">
        <v>1094</v>
      </c>
      <c r="BG19">
        <v>12177</v>
      </c>
      <c r="BH19">
        <v>73638</v>
      </c>
      <c r="BI19">
        <v>120006</v>
      </c>
      <c r="BJ19">
        <v>77850</v>
      </c>
      <c r="BK19">
        <v>124087</v>
      </c>
      <c r="BL19">
        <v>74471</v>
      </c>
      <c r="BM19">
        <v>126764</v>
      </c>
      <c r="BN19">
        <v>72024</v>
      </c>
      <c r="BO19">
        <v>113827</v>
      </c>
      <c r="BP19">
        <v>72431</v>
      </c>
      <c r="BQ19">
        <v>128026</v>
      </c>
      <c r="BR19">
        <v>81119</v>
      </c>
    </row>
    <row r="20" spans="1:70" x14ac:dyDescent="0.3">
      <c r="A20" t="s">
        <v>203</v>
      </c>
      <c r="F20">
        <v>5338</v>
      </c>
      <c r="H20">
        <v>7466</v>
      </c>
      <c r="J20">
        <v>7158</v>
      </c>
      <c r="L20">
        <v>7332</v>
      </c>
      <c r="N20">
        <v>6546</v>
      </c>
      <c r="P20">
        <v>6547</v>
      </c>
      <c r="R20">
        <v>6248</v>
      </c>
      <c r="T20">
        <v>6610</v>
      </c>
      <c r="V20">
        <v>8012</v>
      </c>
      <c r="X20">
        <v>7893</v>
      </c>
      <c r="Z20">
        <v>7700</v>
      </c>
      <c r="AB20">
        <v>7612</v>
      </c>
      <c r="AD20">
        <v>7987</v>
      </c>
      <c r="AF20">
        <v>7704</v>
      </c>
      <c r="AH20">
        <v>7476</v>
      </c>
      <c r="AJ20">
        <v>7561</v>
      </c>
      <c r="AL20">
        <v>8105</v>
      </c>
      <c r="AN20">
        <v>8872</v>
      </c>
      <c r="AP20">
        <v>12318</v>
      </c>
      <c r="AQ20">
        <v>11437</v>
      </c>
      <c r="AR20">
        <v>12232</v>
      </c>
      <c r="AS20">
        <v>12209</v>
      </c>
      <c r="AT20">
        <v>12458</v>
      </c>
      <c r="AU20">
        <v>12673</v>
      </c>
      <c r="AV20">
        <v>11992</v>
      </c>
      <c r="AW20">
        <v>11795</v>
      </c>
      <c r="AX20">
        <v>11710</v>
      </c>
      <c r="AY20">
        <v>11924</v>
      </c>
      <c r="AZ20">
        <v>11205</v>
      </c>
      <c r="BA20">
        <v>10932</v>
      </c>
      <c r="BB20">
        <v>10804</v>
      </c>
      <c r="BC20">
        <v>10128</v>
      </c>
      <c r="BD20">
        <v>10436</v>
      </c>
      <c r="BE20">
        <v>11780</v>
      </c>
      <c r="BF20">
        <v>12117</v>
      </c>
      <c r="BG20">
        <v>12177</v>
      </c>
      <c r="BH20">
        <v>117785</v>
      </c>
      <c r="BI20">
        <v>120006</v>
      </c>
      <c r="BJ20">
        <v>124013</v>
      </c>
      <c r="BK20">
        <v>124087</v>
      </c>
      <c r="BL20">
        <v>118787</v>
      </c>
      <c r="BM20">
        <v>126764</v>
      </c>
      <c r="BN20">
        <v>115343</v>
      </c>
      <c r="BO20">
        <v>113827</v>
      </c>
      <c r="BP20">
        <v>115625</v>
      </c>
      <c r="BQ20">
        <v>128026</v>
      </c>
      <c r="BR20">
        <v>129075</v>
      </c>
    </row>
    <row r="21" spans="1:70" x14ac:dyDescent="0.3">
      <c r="A21" t="s">
        <v>204</v>
      </c>
      <c r="B21">
        <v>1879</v>
      </c>
      <c r="C21">
        <v>1833</v>
      </c>
      <c r="D21">
        <v>2033</v>
      </c>
      <c r="E21">
        <v>2048</v>
      </c>
      <c r="F21">
        <v>2456</v>
      </c>
      <c r="H21">
        <v>2645</v>
      </c>
      <c r="J21">
        <v>2600</v>
      </c>
      <c r="L21">
        <v>2704</v>
      </c>
      <c r="N21">
        <v>2678</v>
      </c>
      <c r="P21">
        <v>2614</v>
      </c>
      <c r="R21">
        <v>2602</v>
      </c>
      <c r="T21">
        <v>2396</v>
      </c>
      <c r="V21">
        <v>2578</v>
      </c>
      <c r="X21">
        <v>3090</v>
      </c>
      <c r="Z21">
        <v>2162</v>
      </c>
      <c r="AB21">
        <v>2167</v>
      </c>
      <c r="AD21">
        <v>2331</v>
      </c>
      <c r="AF21">
        <v>2195</v>
      </c>
      <c r="AH21">
        <v>2207</v>
      </c>
      <c r="AJ21">
        <v>2192</v>
      </c>
      <c r="AL21">
        <v>2378</v>
      </c>
      <c r="AN21">
        <v>2496</v>
      </c>
      <c r="AP21">
        <v>3076</v>
      </c>
      <c r="AQ21">
        <v>2796</v>
      </c>
      <c r="AR21">
        <v>3010</v>
      </c>
      <c r="AS21">
        <v>2939</v>
      </c>
      <c r="AT21">
        <v>3117</v>
      </c>
      <c r="AU21">
        <v>3064</v>
      </c>
      <c r="AV21">
        <v>3047</v>
      </c>
      <c r="AW21">
        <v>2919</v>
      </c>
      <c r="AX21">
        <v>3201</v>
      </c>
      <c r="AY21">
        <v>3226</v>
      </c>
      <c r="AZ21">
        <v>3156</v>
      </c>
      <c r="BA21">
        <v>3042</v>
      </c>
      <c r="BB21">
        <v>3004</v>
      </c>
      <c r="BC21">
        <v>2831</v>
      </c>
      <c r="BD21">
        <v>3021</v>
      </c>
      <c r="BE21">
        <v>3274</v>
      </c>
      <c r="BF21">
        <v>3661</v>
      </c>
      <c r="BG21">
        <v>3636</v>
      </c>
      <c r="BH21">
        <v>4882</v>
      </c>
      <c r="BI21">
        <v>4849</v>
      </c>
      <c r="BJ21">
        <v>5166</v>
      </c>
      <c r="BK21">
        <v>5683</v>
      </c>
      <c r="BL21">
        <v>5518</v>
      </c>
      <c r="BM21">
        <v>5444</v>
      </c>
      <c r="BN21">
        <v>5060</v>
      </c>
      <c r="BO21">
        <v>4866</v>
      </c>
      <c r="BP21">
        <v>4953</v>
      </c>
      <c r="BQ21">
        <v>4728</v>
      </c>
      <c r="BR21">
        <v>4867</v>
      </c>
    </row>
    <row r="22" spans="1:70" x14ac:dyDescent="0.3">
      <c r="A22" t="s">
        <v>205</v>
      </c>
      <c r="B22">
        <v>717</v>
      </c>
      <c r="C22">
        <v>533</v>
      </c>
      <c r="D22">
        <v>612</v>
      </c>
      <c r="E22">
        <v>591</v>
      </c>
      <c r="F22">
        <v>846</v>
      </c>
      <c r="H22">
        <v>482</v>
      </c>
      <c r="J22">
        <v>728</v>
      </c>
      <c r="L22">
        <v>772</v>
      </c>
      <c r="N22">
        <v>786</v>
      </c>
      <c r="P22">
        <v>897</v>
      </c>
      <c r="R22">
        <v>820</v>
      </c>
      <c r="T22">
        <v>942</v>
      </c>
      <c r="V22">
        <v>845</v>
      </c>
      <c r="X22">
        <v>403</v>
      </c>
      <c r="Z22">
        <v>1731</v>
      </c>
      <c r="AB22">
        <v>1993</v>
      </c>
      <c r="AD22">
        <v>2220</v>
      </c>
      <c r="AF22">
        <v>2224</v>
      </c>
      <c r="AH22">
        <v>2132</v>
      </c>
      <c r="AJ22">
        <v>2231</v>
      </c>
      <c r="AL22">
        <v>2338</v>
      </c>
      <c r="AN22">
        <v>2218</v>
      </c>
      <c r="AP22">
        <v>2579</v>
      </c>
      <c r="AQ22">
        <v>2387</v>
      </c>
      <c r="AR22">
        <v>2547</v>
      </c>
      <c r="AS22">
        <v>2765</v>
      </c>
      <c r="AT22">
        <v>2695</v>
      </c>
      <c r="AU22">
        <v>2839</v>
      </c>
      <c r="AV22">
        <v>2653</v>
      </c>
      <c r="AW22">
        <v>2561</v>
      </c>
      <c r="AX22">
        <v>2367</v>
      </c>
      <c r="AY22">
        <v>2628</v>
      </c>
      <c r="AZ22">
        <v>2335</v>
      </c>
      <c r="BA22">
        <v>2369</v>
      </c>
      <c r="BB22">
        <v>2436</v>
      </c>
      <c r="BC22">
        <v>6629</v>
      </c>
      <c r="BD22">
        <v>6975</v>
      </c>
      <c r="BE22">
        <v>8768</v>
      </c>
      <c r="BF22">
        <v>9550</v>
      </c>
      <c r="BG22">
        <v>9482</v>
      </c>
      <c r="BH22">
        <v>1619</v>
      </c>
      <c r="BI22">
        <v>1825</v>
      </c>
      <c r="BJ22">
        <v>1776</v>
      </c>
      <c r="BK22">
        <v>2077</v>
      </c>
      <c r="BL22">
        <v>1872</v>
      </c>
      <c r="BM22">
        <v>2161</v>
      </c>
      <c r="BN22">
        <v>1818</v>
      </c>
      <c r="BO22">
        <v>1976</v>
      </c>
      <c r="BP22">
        <v>1998</v>
      </c>
      <c r="BQ22">
        <v>2110</v>
      </c>
      <c r="BR22">
        <v>2141</v>
      </c>
    </row>
    <row r="23" spans="1:70" x14ac:dyDescent="0.3">
      <c r="A23" t="s">
        <v>206</v>
      </c>
      <c r="Z23">
        <v>502</v>
      </c>
      <c r="AB23">
        <v>528</v>
      </c>
      <c r="AD23">
        <v>609</v>
      </c>
      <c r="AF23">
        <v>483</v>
      </c>
      <c r="AH23">
        <v>570</v>
      </c>
      <c r="AJ23">
        <v>524</v>
      </c>
      <c r="AL23">
        <v>577</v>
      </c>
      <c r="AN23">
        <v>577</v>
      </c>
      <c r="AP23">
        <v>839</v>
      </c>
      <c r="AQ23">
        <v>732</v>
      </c>
      <c r="AR23">
        <v>719</v>
      </c>
      <c r="AS23">
        <v>805</v>
      </c>
      <c r="AT23">
        <v>933</v>
      </c>
      <c r="AU23">
        <v>900</v>
      </c>
      <c r="AV23">
        <v>932</v>
      </c>
      <c r="AW23">
        <v>850</v>
      </c>
      <c r="AX23">
        <v>863</v>
      </c>
      <c r="AY23">
        <v>790</v>
      </c>
      <c r="AZ23">
        <v>667</v>
      </c>
      <c r="BA23">
        <v>706</v>
      </c>
      <c r="BB23">
        <v>791</v>
      </c>
      <c r="BC23">
        <v>916</v>
      </c>
      <c r="BD23">
        <v>1269</v>
      </c>
      <c r="BE23">
        <v>1728</v>
      </c>
      <c r="BF23">
        <v>2086</v>
      </c>
      <c r="BG23">
        <v>2417</v>
      </c>
      <c r="BH23">
        <v>2802</v>
      </c>
      <c r="BI23">
        <v>2884</v>
      </c>
      <c r="BJ23">
        <v>2732</v>
      </c>
      <c r="BK23">
        <v>1849</v>
      </c>
      <c r="BL23">
        <v>1554</v>
      </c>
      <c r="BM23">
        <v>1740</v>
      </c>
      <c r="BN23">
        <v>1857</v>
      </c>
      <c r="BO23">
        <v>1975</v>
      </c>
      <c r="BP23">
        <v>1982</v>
      </c>
      <c r="BQ23">
        <v>2298</v>
      </c>
      <c r="BR23">
        <v>2054</v>
      </c>
    </row>
    <row r="24" spans="1:70" x14ac:dyDescent="0.3">
      <c r="A24" t="s">
        <v>207</v>
      </c>
      <c r="B24">
        <v>2596</v>
      </c>
      <c r="C24">
        <v>2366</v>
      </c>
      <c r="D24">
        <v>2645</v>
      </c>
      <c r="E24">
        <v>2639</v>
      </c>
      <c r="F24">
        <v>8640</v>
      </c>
      <c r="H24">
        <v>10593</v>
      </c>
      <c r="J24">
        <v>10486</v>
      </c>
      <c r="L24">
        <v>10808</v>
      </c>
      <c r="N24">
        <v>10010</v>
      </c>
      <c r="P24">
        <v>10058</v>
      </c>
      <c r="R24">
        <v>9670</v>
      </c>
      <c r="T24">
        <v>9948</v>
      </c>
      <c r="V24">
        <v>11435</v>
      </c>
      <c r="X24">
        <v>11386</v>
      </c>
      <c r="Z24">
        <v>12095</v>
      </c>
      <c r="AB24">
        <v>12300</v>
      </c>
      <c r="AD24">
        <v>13147</v>
      </c>
      <c r="AF24">
        <v>12606</v>
      </c>
      <c r="AH24">
        <v>12385</v>
      </c>
      <c r="AJ24">
        <v>12508</v>
      </c>
      <c r="AL24">
        <v>13398</v>
      </c>
      <c r="AN24">
        <v>14163</v>
      </c>
      <c r="AP24">
        <v>18812</v>
      </c>
      <c r="AQ24">
        <v>17352</v>
      </c>
      <c r="AR24">
        <v>18508</v>
      </c>
      <c r="AS24">
        <v>18718</v>
      </c>
      <c r="AT24">
        <v>19203</v>
      </c>
      <c r="AU24">
        <v>19476</v>
      </c>
      <c r="AV24">
        <v>18624</v>
      </c>
      <c r="AW24">
        <v>18125</v>
      </c>
      <c r="AX24">
        <v>18141</v>
      </c>
      <c r="AY24">
        <v>18568</v>
      </c>
      <c r="AZ24">
        <v>17363</v>
      </c>
      <c r="BA24">
        <v>17049</v>
      </c>
      <c r="BB24">
        <v>17035</v>
      </c>
      <c r="BC24">
        <v>20504</v>
      </c>
      <c r="BD24">
        <v>21701</v>
      </c>
      <c r="BE24">
        <v>25550</v>
      </c>
      <c r="BF24">
        <v>27414</v>
      </c>
      <c r="BG24">
        <v>27712</v>
      </c>
      <c r="BH24">
        <v>127088</v>
      </c>
      <c r="BI24">
        <v>129564</v>
      </c>
      <c r="BJ24">
        <v>133687</v>
      </c>
      <c r="BK24">
        <v>133696</v>
      </c>
      <c r="BL24">
        <v>127731</v>
      </c>
      <c r="BM24">
        <v>136109</v>
      </c>
      <c r="BN24">
        <v>124078</v>
      </c>
      <c r="BO24">
        <v>122644</v>
      </c>
      <c r="BP24">
        <v>124558</v>
      </c>
      <c r="BQ24">
        <v>137162</v>
      </c>
      <c r="BR24">
        <v>138137</v>
      </c>
    </row>
    <row r="25" spans="1:70" x14ac:dyDescent="0.3">
      <c r="A25" t="s">
        <v>17</v>
      </c>
      <c r="B25">
        <v>8060</v>
      </c>
      <c r="C25">
        <v>8092</v>
      </c>
      <c r="D25">
        <v>8550</v>
      </c>
      <c r="E25">
        <v>7452</v>
      </c>
      <c r="F25">
        <v>16234</v>
      </c>
      <c r="H25">
        <v>18628</v>
      </c>
      <c r="J25">
        <v>17737</v>
      </c>
      <c r="L25">
        <v>17815</v>
      </c>
      <c r="N25">
        <v>17230</v>
      </c>
      <c r="P25">
        <v>16570</v>
      </c>
      <c r="R25">
        <v>16286</v>
      </c>
      <c r="T25">
        <v>16203</v>
      </c>
      <c r="V25">
        <v>18979</v>
      </c>
      <c r="X25">
        <v>17420</v>
      </c>
      <c r="Z25">
        <v>17775</v>
      </c>
      <c r="AB25">
        <v>18196</v>
      </c>
      <c r="AD25">
        <v>19051</v>
      </c>
      <c r="AF25">
        <v>18885</v>
      </c>
      <c r="AH25">
        <v>17776</v>
      </c>
      <c r="AJ25">
        <v>17651</v>
      </c>
      <c r="AL25">
        <v>18764</v>
      </c>
      <c r="AN25">
        <v>21533</v>
      </c>
      <c r="AP25">
        <v>27551</v>
      </c>
      <c r="AQ25">
        <v>24825</v>
      </c>
      <c r="AR25">
        <v>26614</v>
      </c>
      <c r="AS25">
        <v>26677</v>
      </c>
      <c r="AT25">
        <v>27860</v>
      </c>
      <c r="AU25">
        <v>27809</v>
      </c>
      <c r="AV25">
        <v>27119</v>
      </c>
      <c r="AW25">
        <v>26934</v>
      </c>
      <c r="AX25">
        <v>27327</v>
      </c>
      <c r="AY25">
        <v>27867</v>
      </c>
      <c r="AZ25">
        <v>26881</v>
      </c>
      <c r="BA25">
        <v>25678</v>
      </c>
      <c r="BB25">
        <v>26167</v>
      </c>
      <c r="BC25">
        <v>28675</v>
      </c>
      <c r="BD25">
        <v>31515</v>
      </c>
      <c r="BE25">
        <v>36239</v>
      </c>
      <c r="BF25">
        <v>39773</v>
      </c>
      <c r="BG25">
        <v>39186</v>
      </c>
      <c r="BH25">
        <v>141054</v>
      </c>
      <c r="BI25">
        <v>142501</v>
      </c>
      <c r="BJ25">
        <v>146342</v>
      </c>
      <c r="BK25">
        <v>148112</v>
      </c>
      <c r="BL25">
        <v>141005</v>
      </c>
      <c r="BM25">
        <v>152677</v>
      </c>
      <c r="BN25">
        <v>137690</v>
      </c>
      <c r="BO25">
        <v>136995</v>
      </c>
      <c r="BP25">
        <v>137365</v>
      </c>
      <c r="BQ25">
        <v>151871</v>
      </c>
      <c r="BR25">
        <v>153546</v>
      </c>
    </row>
    <row r="26" spans="1:70" x14ac:dyDescent="0.3">
      <c r="A26" t="s">
        <v>208</v>
      </c>
    </row>
    <row r="27" spans="1:70" x14ac:dyDescent="0.3">
      <c r="A27" t="s">
        <v>209</v>
      </c>
      <c r="B27">
        <v>1012</v>
      </c>
      <c r="C27">
        <v>1110</v>
      </c>
      <c r="D27">
        <v>3528</v>
      </c>
      <c r="E27">
        <v>1595</v>
      </c>
      <c r="F27">
        <v>1033</v>
      </c>
      <c r="H27">
        <v>7110</v>
      </c>
      <c r="J27">
        <v>1085</v>
      </c>
      <c r="L27">
        <v>6333</v>
      </c>
      <c r="N27">
        <v>1508</v>
      </c>
      <c r="P27">
        <v>5692</v>
      </c>
      <c r="R27">
        <v>696</v>
      </c>
      <c r="T27">
        <v>5464</v>
      </c>
      <c r="V27">
        <v>1521</v>
      </c>
      <c r="X27">
        <v>759</v>
      </c>
      <c r="Z27">
        <v>1139</v>
      </c>
      <c r="AB27">
        <v>1838</v>
      </c>
      <c r="AD27">
        <v>2202</v>
      </c>
      <c r="AF27">
        <v>1895</v>
      </c>
      <c r="AH27">
        <v>1058</v>
      </c>
      <c r="AJ27">
        <v>1194</v>
      </c>
      <c r="AL27">
        <v>861</v>
      </c>
      <c r="AN27">
        <v>1760</v>
      </c>
      <c r="AP27">
        <v>2724</v>
      </c>
      <c r="AQ27">
        <v>2522</v>
      </c>
      <c r="AR27">
        <v>1370</v>
      </c>
      <c r="AS27">
        <v>2138</v>
      </c>
      <c r="AT27">
        <v>1334</v>
      </c>
      <c r="AU27">
        <v>2303</v>
      </c>
      <c r="AV27">
        <v>1766</v>
      </c>
      <c r="AW27">
        <v>1836</v>
      </c>
      <c r="AX27">
        <v>1636</v>
      </c>
      <c r="AY27">
        <v>2307</v>
      </c>
      <c r="AZ27">
        <v>1980</v>
      </c>
      <c r="BA27">
        <v>3685</v>
      </c>
      <c r="BB27">
        <v>2479</v>
      </c>
      <c r="BC27">
        <v>1341</v>
      </c>
      <c r="BD27">
        <v>2195</v>
      </c>
      <c r="BE27">
        <v>5343</v>
      </c>
      <c r="BF27">
        <v>3007</v>
      </c>
      <c r="BG27">
        <v>5822</v>
      </c>
      <c r="BH27">
        <v>5423</v>
      </c>
      <c r="BI27">
        <v>5287</v>
      </c>
      <c r="BJ27">
        <v>4225</v>
      </c>
      <c r="BK27">
        <v>8711</v>
      </c>
      <c r="BL27">
        <v>7562</v>
      </c>
      <c r="BM27">
        <v>7066</v>
      </c>
      <c r="BN27">
        <v>4041</v>
      </c>
      <c r="BO27">
        <v>8649</v>
      </c>
      <c r="BP27">
        <v>3992</v>
      </c>
      <c r="BQ27">
        <v>5151</v>
      </c>
      <c r="BR27">
        <v>4413</v>
      </c>
    </row>
    <row r="28" spans="1:70" x14ac:dyDescent="0.3">
      <c r="A28" t="s">
        <v>210</v>
      </c>
      <c r="B28">
        <v>296</v>
      </c>
      <c r="C28">
        <v>355</v>
      </c>
      <c r="D28">
        <v>325</v>
      </c>
      <c r="E28">
        <v>368</v>
      </c>
      <c r="F28">
        <v>456</v>
      </c>
      <c r="J28">
        <v>528</v>
      </c>
      <c r="N28">
        <v>503</v>
      </c>
      <c r="R28">
        <v>484</v>
      </c>
      <c r="V28">
        <v>649</v>
      </c>
      <c r="X28">
        <v>3740</v>
      </c>
      <c r="Z28">
        <v>499</v>
      </c>
      <c r="AB28">
        <v>2642</v>
      </c>
      <c r="AD28">
        <v>550</v>
      </c>
      <c r="AF28">
        <v>2695</v>
      </c>
      <c r="AH28">
        <v>611</v>
      </c>
      <c r="AJ28">
        <v>2665</v>
      </c>
      <c r="AL28">
        <v>633</v>
      </c>
      <c r="AN28">
        <v>3167</v>
      </c>
      <c r="AP28">
        <v>808</v>
      </c>
      <c r="AQ28">
        <v>4377</v>
      </c>
      <c r="AR28">
        <v>650</v>
      </c>
      <c r="AS28">
        <v>4572</v>
      </c>
      <c r="AT28">
        <v>712</v>
      </c>
      <c r="AU28">
        <v>4937</v>
      </c>
      <c r="AV28">
        <v>5174</v>
      </c>
      <c r="AW28">
        <v>4871</v>
      </c>
      <c r="AX28">
        <v>5827</v>
      </c>
      <c r="AY28">
        <v>4999</v>
      </c>
      <c r="AZ28">
        <v>5741</v>
      </c>
      <c r="BA28">
        <v>4617</v>
      </c>
      <c r="BB28">
        <v>5524</v>
      </c>
      <c r="BC28">
        <v>4433</v>
      </c>
      <c r="BD28">
        <v>5937</v>
      </c>
      <c r="BE28">
        <v>5080</v>
      </c>
      <c r="BF28">
        <v>7335</v>
      </c>
      <c r="BG28">
        <v>5948</v>
      </c>
      <c r="BH28">
        <v>8908</v>
      </c>
      <c r="BI28">
        <v>9498</v>
      </c>
      <c r="BJ28">
        <v>10631</v>
      </c>
      <c r="BK28">
        <v>9762</v>
      </c>
      <c r="BL28">
        <v>9727</v>
      </c>
      <c r="BM28">
        <v>9535</v>
      </c>
      <c r="BN28">
        <v>9693</v>
      </c>
      <c r="BO28">
        <v>8504</v>
      </c>
      <c r="BP28">
        <v>9577</v>
      </c>
      <c r="BQ28">
        <v>8823</v>
      </c>
      <c r="BR28">
        <v>10449</v>
      </c>
    </row>
    <row r="29" spans="1:70" x14ac:dyDescent="0.3">
      <c r="A29" t="s">
        <v>287</v>
      </c>
      <c r="B29">
        <v>413</v>
      </c>
      <c r="C29">
        <v>395</v>
      </c>
      <c r="D29">
        <v>424</v>
      </c>
      <c r="E29">
        <v>479</v>
      </c>
      <c r="F29">
        <v>790</v>
      </c>
      <c r="J29">
        <v>889</v>
      </c>
      <c r="N29">
        <v>812</v>
      </c>
      <c r="R29">
        <v>652</v>
      </c>
      <c r="V29">
        <v>725</v>
      </c>
      <c r="Z29">
        <v>674</v>
      </c>
      <c r="AD29">
        <v>620</v>
      </c>
      <c r="AH29">
        <v>553</v>
      </c>
      <c r="AL29">
        <v>610</v>
      </c>
      <c r="AP29">
        <v>800</v>
      </c>
      <c r="AR29">
        <v>943</v>
      </c>
      <c r="AT29">
        <v>1088</v>
      </c>
    </row>
    <row r="30" spans="1:70" x14ac:dyDescent="0.3">
      <c r="A30" t="s">
        <v>39</v>
      </c>
      <c r="B30">
        <v>395</v>
      </c>
      <c r="C30">
        <v>491</v>
      </c>
      <c r="D30">
        <v>425</v>
      </c>
      <c r="E30">
        <v>198</v>
      </c>
      <c r="F30">
        <v>241</v>
      </c>
      <c r="J30">
        <v>416</v>
      </c>
      <c r="N30">
        <v>451</v>
      </c>
      <c r="R30">
        <v>339</v>
      </c>
      <c r="V30">
        <v>438</v>
      </c>
      <c r="X30">
        <v>414</v>
      </c>
      <c r="Z30">
        <v>352</v>
      </c>
      <c r="AB30">
        <v>318</v>
      </c>
      <c r="AD30">
        <v>374</v>
      </c>
      <c r="AF30">
        <v>269</v>
      </c>
      <c r="AH30">
        <v>292</v>
      </c>
      <c r="AJ30">
        <v>281</v>
      </c>
      <c r="AL30">
        <v>227</v>
      </c>
      <c r="AN30">
        <v>274</v>
      </c>
      <c r="AP30">
        <v>300</v>
      </c>
      <c r="AQ30">
        <v>323</v>
      </c>
      <c r="AR30">
        <v>364</v>
      </c>
      <c r="AS30">
        <v>434</v>
      </c>
      <c r="AT30">
        <v>467</v>
      </c>
      <c r="AU30">
        <v>465</v>
      </c>
      <c r="AV30">
        <v>494</v>
      </c>
      <c r="AW30">
        <v>475</v>
      </c>
      <c r="AX30">
        <v>404</v>
      </c>
      <c r="AY30">
        <v>429</v>
      </c>
      <c r="AZ30">
        <v>487</v>
      </c>
      <c r="BA30">
        <v>486</v>
      </c>
      <c r="BB30">
        <v>430</v>
      </c>
      <c r="BC30">
        <v>435</v>
      </c>
      <c r="BD30">
        <v>414</v>
      </c>
      <c r="BE30">
        <v>396</v>
      </c>
      <c r="BF30">
        <v>558</v>
      </c>
      <c r="BG30">
        <v>622</v>
      </c>
      <c r="BH30">
        <v>720</v>
      </c>
      <c r="BI30">
        <v>739</v>
      </c>
      <c r="BJ30">
        <v>853</v>
      </c>
      <c r="BK30">
        <v>792</v>
      </c>
      <c r="BL30">
        <v>683</v>
      </c>
      <c r="BM30">
        <v>1295</v>
      </c>
      <c r="BN30">
        <v>868</v>
      </c>
      <c r="BO30">
        <v>776</v>
      </c>
      <c r="BP30">
        <v>879</v>
      </c>
      <c r="BQ30">
        <v>888</v>
      </c>
      <c r="BR30">
        <v>1049</v>
      </c>
    </row>
    <row r="31" spans="1:70" x14ac:dyDescent="0.3">
      <c r="A31" t="s">
        <v>211</v>
      </c>
      <c r="B31">
        <v>1567</v>
      </c>
      <c r="C31">
        <v>1538</v>
      </c>
      <c r="D31">
        <v>1632</v>
      </c>
      <c r="E31">
        <v>1390</v>
      </c>
      <c r="F31">
        <v>2380</v>
      </c>
      <c r="H31">
        <v>4091</v>
      </c>
      <c r="J31">
        <v>2584</v>
      </c>
      <c r="L31">
        <v>4400</v>
      </c>
      <c r="N31">
        <v>2559</v>
      </c>
      <c r="P31">
        <v>4049</v>
      </c>
      <c r="R31">
        <v>2545</v>
      </c>
      <c r="T31">
        <v>3847</v>
      </c>
      <c r="V31">
        <v>3121</v>
      </c>
      <c r="X31">
        <v>237</v>
      </c>
      <c r="Z31">
        <v>1776</v>
      </c>
      <c r="AB31">
        <v>368</v>
      </c>
      <c r="AD31">
        <v>2090</v>
      </c>
      <c r="AF31">
        <v>334</v>
      </c>
      <c r="AH31">
        <v>1939</v>
      </c>
      <c r="AJ31">
        <v>317</v>
      </c>
      <c r="AL31">
        <v>2223</v>
      </c>
      <c r="AN31">
        <v>477</v>
      </c>
      <c r="AP31">
        <v>4246</v>
      </c>
      <c r="AQ31">
        <v>407</v>
      </c>
      <c r="AR31">
        <v>3589</v>
      </c>
      <c r="AS31">
        <v>415</v>
      </c>
      <c r="AT31">
        <v>4044</v>
      </c>
      <c r="AU31">
        <v>564</v>
      </c>
      <c r="AV31">
        <v>413</v>
      </c>
      <c r="AW31">
        <v>454</v>
      </c>
      <c r="AX31">
        <v>275</v>
      </c>
      <c r="AY31">
        <v>609</v>
      </c>
      <c r="AZ31">
        <v>228</v>
      </c>
      <c r="BA31">
        <v>391</v>
      </c>
      <c r="BB31">
        <v>336</v>
      </c>
      <c r="BC31">
        <v>376</v>
      </c>
      <c r="BD31">
        <v>460</v>
      </c>
      <c r="BE31">
        <v>968</v>
      </c>
      <c r="BF31">
        <v>956</v>
      </c>
      <c r="BG31">
        <v>804</v>
      </c>
      <c r="BH31">
        <v>554</v>
      </c>
      <c r="BI31">
        <v>526</v>
      </c>
      <c r="BJ31">
        <v>620</v>
      </c>
      <c r="BK31">
        <v>528</v>
      </c>
      <c r="BL31">
        <v>851</v>
      </c>
      <c r="BM31">
        <v>638</v>
      </c>
      <c r="BN31">
        <v>876</v>
      </c>
      <c r="BO31">
        <v>489</v>
      </c>
      <c r="BP31">
        <v>696</v>
      </c>
      <c r="BQ31">
        <v>1864</v>
      </c>
      <c r="BR31">
        <v>1942</v>
      </c>
    </row>
    <row r="32" spans="1:70" x14ac:dyDescent="0.3">
      <c r="A32" t="s">
        <v>212</v>
      </c>
      <c r="B32">
        <v>3683</v>
      </c>
      <c r="C32">
        <v>3889</v>
      </c>
      <c r="D32">
        <v>6334</v>
      </c>
      <c r="E32">
        <v>4030</v>
      </c>
      <c r="F32">
        <v>4900</v>
      </c>
      <c r="H32">
        <v>11201</v>
      </c>
      <c r="J32">
        <v>5502</v>
      </c>
      <c r="L32">
        <v>10733</v>
      </c>
      <c r="N32">
        <v>5833</v>
      </c>
      <c r="P32">
        <v>9741</v>
      </c>
      <c r="R32">
        <v>4716</v>
      </c>
      <c r="T32">
        <v>9311</v>
      </c>
      <c r="V32">
        <v>6454</v>
      </c>
      <c r="X32">
        <v>5150</v>
      </c>
      <c r="Z32">
        <v>4440</v>
      </c>
      <c r="AB32">
        <v>5166</v>
      </c>
      <c r="AD32">
        <v>5836</v>
      </c>
      <c r="AF32">
        <v>5193</v>
      </c>
      <c r="AH32">
        <v>4453</v>
      </c>
      <c r="AJ32">
        <v>4457</v>
      </c>
      <c r="AL32">
        <v>4554</v>
      </c>
      <c r="AN32">
        <v>5678</v>
      </c>
      <c r="AP32">
        <v>8878</v>
      </c>
      <c r="AQ32">
        <v>7629</v>
      </c>
      <c r="AR32">
        <v>6916</v>
      </c>
      <c r="AS32">
        <v>7559</v>
      </c>
      <c r="AT32">
        <v>7645</v>
      </c>
      <c r="AU32">
        <v>8269</v>
      </c>
      <c r="AV32">
        <v>7847</v>
      </c>
      <c r="AW32">
        <v>7636</v>
      </c>
      <c r="AX32">
        <v>8142</v>
      </c>
      <c r="AY32">
        <v>8344</v>
      </c>
      <c r="AZ32">
        <v>8436</v>
      </c>
      <c r="BA32">
        <v>9179</v>
      </c>
      <c r="BB32">
        <v>8769</v>
      </c>
      <c r="BC32">
        <v>6585</v>
      </c>
      <c r="BD32">
        <v>9006</v>
      </c>
      <c r="BE32">
        <v>11787</v>
      </c>
      <c r="BF32">
        <v>11856</v>
      </c>
      <c r="BG32">
        <v>13196</v>
      </c>
      <c r="BH32">
        <v>15605</v>
      </c>
      <c r="BI32">
        <v>16050</v>
      </c>
      <c r="BJ32">
        <v>16329</v>
      </c>
      <c r="BK32">
        <v>19793</v>
      </c>
      <c r="BL32">
        <v>18823</v>
      </c>
      <c r="BM32">
        <v>18534</v>
      </c>
      <c r="BN32">
        <v>15478</v>
      </c>
      <c r="BO32">
        <v>18418</v>
      </c>
      <c r="BP32">
        <v>15144</v>
      </c>
      <c r="BQ32">
        <v>16726</v>
      </c>
      <c r="BR32">
        <v>17853</v>
      </c>
    </row>
    <row r="33" spans="1:73" x14ac:dyDescent="0.3">
      <c r="A33" t="s">
        <v>213</v>
      </c>
      <c r="B33">
        <v>2546</v>
      </c>
      <c r="C33">
        <v>2327</v>
      </c>
      <c r="D33">
        <v>1068</v>
      </c>
      <c r="E33">
        <v>2135</v>
      </c>
      <c r="F33">
        <v>4643</v>
      </c>
      <c r="J33">
        <v>5066</v>
      </c>
      <c r="N33">
        <v>4642</v>
      </c>
      <c r="R33">
        <v>4618</v>
      </c>
      <c r="V33">
        <v>6089</v>
      </c>
      <c r="X33">
        <v>6344</v>
      </c>
      <c r="Z33">
        <v>6049</v>
      </c>
      <c r="AB33">
        <v>5728</v>
      </c>
      <c r="AD33">
        <v>5058</v>
      </c>
      <c r="AF33">
        <v>5988</v>
      </c>
      <c r="AH33">
        <v>5568</v>
      </c>
      <c r="AJ33">
        <v>5440</v>
      </c>
      <c r="AL33">
        <v>6062</v>
      </c>
      <c r="AN33">
        <v>7895</v>
      </c>
      <c r="AP33">
        <v>9437</v>
      </c>
      <c r="AQ33">
        <v>8369</v>
      </c>
      <c r="AR33">
        <v>9712</v>
      </c>
      <c r="AS33">
        <v>8656</v>
      </c>
      <c r="AT33">
        <v>8916</v>
      </c>
      <c r="AU33">
        <v>8713</v>
      </c>
      <c r="AV33">
        <v>8510</v>
      </c>
      <c r="AW33">
        <v>9526</v>
      </c>
      <c r="AX33">
        <v>9083</v>
      </c>
      <c r="AY33">
        <v>10147</v>
      </c>
      <c r="AZ33">
        <v>9716</v>
      </c>
      <c r="BA33">
        <v>9029</v>
      </c>
      <c r="BB33">
        <v>9779</v>
      </c>
      <c r="BC33">
        <v>14131</v>
      </c>
      <c r="BD33">
        <v>14806</v>
      </c>
      <c r="BE33">
        <v>14888</v>
      </c>
      <c r="BF33">
        <v>16488</v>
      </c>
      <c r="BG33">
        <v>15085</v>
      </c>
      <c r="BH33">
        <v>44027</v>
      </c>
      <c r="BI33">
        <v>43225</v>
      </c>
      <c r="BJ33">
        <v>43284</v>
      </c>
      <c r="BK33">
        <v>41581</v>
      </c>
      <c r="BL33">
        <v>37804</v>
      </c>
      <c r="BM33">
        <v>43395</v>
      </c>
      <c r="BN33">
        <v>39927</v>
      </c>
      <c r="BO33">
        <v>36361</v>
      </c>
      <c r="BP33">
        <v>35666</v>
      </c>
      <c r="BQ33">
        <v>39724</v>
      </c>
      <c r="BR33">
        <v>38726</v>
      </c>
    </row>
    <row r="34" spans="1:73" x14ac:dyDescent="0.3">
      <c r="A34" t="s">
        <v>144</v>
      </c>
      <c r="B34">
        <v>43</v>
      </c>
      <c r="C34">
        <v>37</v>
      </c>
      <c r="D34">
        <v>59</v>
      </c>
      <c r="E34">
        <v>47</v>
      </c>
      <c r="F34">
        <v>170</v>
      </c>
      <c r="J34">
        <v>248</v>
      </c>
      <c r="N34">
        <v>263</v>
      </c>
      <c r="R34">
        <v>257</v>
      </c>
      <c r="V34">
        <v>198</v>
      </c>
      <c r="X34">
        <v>219</v>
      </c>
      <c r="Z34">
        <v>233</v>
      </c>
      <c r="AB34">
        <v>236</v>
      </c>
      <c r="AD34">
        <v>277</v>
      </c>
      <c r="AF34">
        <v>257</v>
      </c>
      <c r="AH34">
        <v>296</v>
      </c>
      <c r="AJ34">
        <v>304</v>
      </c>
      <c r="AL34">
        <v>336</v>
      </c>
      <c r="AN34">
        <v>380</v>
      </c>
      <c r="AP34">
        <v>599</v>
      </c>
      <c r="AQ34">
        <v>543</v>
      </c>
      <c r="AR34">
        <v>527</v>
      </c>
      <c r="AS34">
        <v>494</v>
      </c>
      <c r="AT34">
        <v>509</v>
      </c>
      <c r="AU34">
        <v>527</v>
      </c>
      <c r="AV34">
        <v>556</v>
      </c>
      <c r="AW34">
        <v>498</v>
      </c>
      <c r="AX34">
        <v>500</v>
      </c>
      <c r="AY34">
        <v>548</v>
      </c>
      <c r="AZ34">
        <v>514</v>
      </c>
      <c r="BA34">
        <v>479</v>
      </c>
      <c r="BB34">
        <v>495</v>
      </c>
      <c r="BC34">
        <v>513</v>
      </c>
      <c r="BD34">
        <v>563</v>
      </c>
      <c r="BE34">
        <v>657</v>
      </c>
      <c r="BF34">
        <v>652</v>
      </c>
      <c r="BG34">
        <v>659</v>
      </c>
      <c r="BH34">
        <v>17129</v>
      </c>
      <c r="BI34">
        <v>17612</v>
      </c>
      <c r="BJ34">
        <v>17776</v>
      </c>
      <c r="BK34">
        <v>17703</v>
      </c>
      <c r="BL34">
        <v>17050</v>
      </c>
      <c r="BM34">
        <v>18104</v>
      </c>
      <c r="BN34">
        <v>16314</v>
      </c>
      <c r="BO34">
        <v>16245</v>
      </c>
      <c r="BP34">
        <v>16462</v>
      </c>
      <c r="BQ34">
        <v>18361</v>
      </c>
      <c r="BR34">
        <v>18428</v>
      </c>
    </row>
    <row r="35" spans="1:73" x14ac:dyDescent="0.3">
      <c r="A35" t="s">
        <v>214</v>
      </c>
      <c r="B35">
        <v>739</v>
      </c>
      <c r="C35">
        <v>683</v>
      </c>
      <c r="D35">
        <v>691</v>
      </c>
      <c r="E35">
        <v>694</v>
      </c>
      <c r="F35">
        <v>1081</v>
      </c>
      <c r="H35">
        <v>1512</v>
      </c>
      <c r="J35">
        <v>1208</v>
      </c>
      <c r="L35">
        <v>1413</v>
      </c>
      <c r="N35">
        <v>1204</v>
      </c>
      <c r="P35">
        <v>1405</v>
      </c>
      <c r="R35">
        <v>1093</v>
      </c>
      <c r="T35">
        <v>1524</v>
      </c>
      <c r="V35">
        <v>1343</v>
      </c>
      <c r="X35">
        <v>217</v>
      </c>
      <c r="Z35">
        <v>213</v>
      </c>
      <c r="AB35">
        <v>121</v>
      </c>
      <c r="AD35">
        <v>261</v>
      </c>
      <c r="AF35">
        <v>165</v>
      </c>
      <c r="AH35">
        <v>161</v>
      </c>
      <c r="AJ35">
        <v>145</v>
      </c>
      <c r="AL35">
        <v>165</v>
      </c>
      <c r="AN35">
        <v>153</v>
      </c>
      <c r="AP35">
        <v>186</v>
      </c>
      <c r="AQ35">
        <v>152</v>
      </c>
      <c r="AR35">
        <v>144</v>
      </c>
      <c r="AS35">
        <v>146</v>
      </c>
      <c r="AT35">
        <v>187</v>
      </c>
      <c r="AU35">
        <v>181</v>
      </c>
      <c r="AV35">
        <v>458</v>
      </c>
      <c r="AW35">
        <v>417</v>
      </c>
      <c r="AX35">
        <v>419</v>
      </c>
      <c r="AY35">
        <v>393</v>
      </c>
      <c r="AZ35">
        <v>387</v>
      </c>
      <c r="BA35">
        <v>380</v>
      </c>
      <c r="BB35">
        <v>278</v>
      </c>
      <c r="BC35">
        <v>280</v>
      </c>
      <c r="BD35">
        <v>296</v>
      </c>
      <c r="BE35">
        <v>312</v>
      </c>
      <c r="BF35">
        <v>386</v>
      </c>
      <c r="BG35">
        <v>395</v>
      </c>
      <c r="BH35">
        <v>354</v>
      </c>
      <c r="BI35">
        <v>347</v>
      </c>
      <c r="BJ35">
        <v>331</v>
      </c>
      <c r="BK35">
        <v>344</v>
      </c>
      <c r="BL35">
        <v>388</v>
      </c>
      <c r="BM35">
        <v>399</v>
      </c>
      <c r="BN35">
        <v>387</v>
      </c>
      <c r="BO35">
        <v>411</v>
      </c>
      <c r="BP35">
        <v>392</v>
      </c>
      <c r="BQ35">
        <v>418</v>
      </c>
      <c r="BR35">
        <v>434</v>
      </c>
    </row>
    <row r="36" spans="1:73" x14ac:dyDescent="0.3">
      <c r="A36" t="s">
        <v>215</v>
      </c>
      <c r="Z36">
        <v>548</v>
      </c>
      <c r="AB36">
        <v>516</v>
      </c>
      <c r="AD36">
        <v>543</v>
      </c>
      <c r="AF36">
        <v>482</v>
      </c>
      <c r="AH36">
        <v>435</v>
      </c>
      <c r="AJ36">
        <v>395</v>
      </c>
      <c r="AL36">
        <v>360</v>
      </c>
      <c r="AN36">
        <v>302</v>
      </c>
      <c r="AP36">
        <v>848</v>
      </c>
      <c r="AQ36">
        <v>885</v>
      </c>
      <c r="AR36">
        <v>1129</v>
      </c>
      <c r="AS36">
        <v>886</v>
      </c>
      <c r="AT36">
        <v>770</v>
      </c>
      <c r="AU36">
        <v>786</v>
      </c>
      <c r="AV36">
        <v>1003</v>
      </c>
      <c r="AW36">
        <v>1076</v>
      </c>
      <c r="AX36">
        <v>1152</v>
      </c>
      <c r="AY36">
        <v>877</v>
      </c>
      <c r="AZ36">
        <v>632</v>
      </c>
      <c r="BA36">
        <v>616</v>
      </c>
      <c r="BB36">
        <v>781</v>
      </c>
      <c r="BC36">
        <v>701</v>
      </c>
      <c r="BD36">
        <v>653</v>
      </c>
      <c r="BE36">
        <v>925</v>
      </c>
      <c r="BF36">
        <v>826</v>
      </c>
      <c r="BG36">
        <v>827</v>
      </c>
      <c r="BH36">
        <v>1821</v>
      </c>
      <c r="BI36">
        <v>1489</v>
      </c>
      <c r="BJ36">
        <v>1665</v>
      </c>
      <c r="BK36">
        <v>1717</v>
      </c>
      <c r="BL36">
        <v>1459</v>
      </c>
      <c r="BM36">
        <v>1574</v>
      </c>
      <c r="BN36">
        <v>1524</v>
      </c>
      <c r="BO36">
        <v>1279</v>
      </c>
      <c r="BP36">
        <v>1239</v>
      </c>
      <c r="BQ36">
        <v>1108</v>
      </c>
      <c r="BR36">
        <v>949</v>
      </c>
    </row>
    <row r="37" spans="1:73" x14ac:dyDescent="0.3">
      <c r="A37" t="s">
        <v>216</v>
      </c>
      <c r="B37">
        <v>182</v>
      </c>
      <c r="C37">
        <v>128</v>
      </c>
      <c r="D37">
        <v>153</v>
      </c>
      <c r="E37">
        <v>159</v>
      </c>
      <c r="F37">
        <v>164</v>
      </c>
      <c r="J37">
        <v>197</v>
      </c>
      <c r="N37">
        <v>205</v>
      </c>
      <c r="R37">
        <v>150</v>
      </c>
      <c r="V37">
        <v>187</v>
      </c>
      <c r="X37">
        <v>261</v>
      </c>
      <c r="Z37">
        <v>175</v>
      </c>
      <c r="AB37">
        <v>208</v>
      </c>
      <c r="AD37">
        <v>199</v>
      </c>
      <c r="AF37">
        <v>194</v>
      </c>
      <c r="AH37">
        <v>175</v>
      </c>
      <c r="AJ37">
        <v>234</v>
      </c>
      <c r="AL37">
        <v>198</v>
      </c>
      <c r="AN37">
        <v>260</v>
      </c>
      <c r="AP37">
        <v>388</v>
      </c>
      <c r="AQ37">
        <v>254</v>
      </c>
      <c r="AR37">
        <v>274</v>
      </c>
      <c r="AS37">
        <v>232</v>
      </c>
      <c r="AT37">
        <v>285</v>
      </c>
      <c r="AU37">
        <v>291</v>
      </c>
      <c r="AV37">
        <v>271</v>
      </c>
      <c r="AW37">
        <v>254</v>
      </c>
      <c r="AX37">
        <v>252</v>
      </c>
      <c r="AY37">
        <v>292</v>
      </c>
      <c r="AZ37">
        <v>261</v>
      </c>
      <c r="BA37">
        <v>244</v>
      </c>
      <c r="BB37">
        <v>251</v>
      </c>
      <c r="BC37">
        <v>217</v>
      </c>
      <c r="BD37">
        <v>1159</v>
      </c>
      <c r="BE37">
        <v>1418</v>
      </c>
      <c r="BF37">
        <v>1159</v>
      </c>
      <c r="BG37">
        <v>1115</v>
      </c>
      <c r="BH37">
        <v>1137</v>
      </c>
      <c r="BI37">
        <v>1159</v>
      </c>
      <c r="BJ37">
        <v>1269</v>
      </c>
      <c r="BK37">
        <v>1438</v>
      </c>
      <c r="BL37">
        <v>1321</v>
      </c>
      <c r="BM37">
        <v>1246</v>
      </c>
      <c r="BN37">
        <v>1105</v>
      </c>
      <c r="BO37">
        <v>1107</v>
      </c>
      <c r="BP37">
        <v>1061</v>
      </c>
      <c r="BQ37">
        <v>1465</v>
      </c>
      <c r="BR37">
        <v>1446</v>
      </c>
    </row>
    <row r="38" spans="1:73" x14ac:dyDescent="0.3">
      <c r="A38" t="s">
        <v>217</v>
      </c>
      <c r="B38">
        <v>3510</v>
      </c>
      <c r="C38">
        <v>3175</v>
      </c>
      <c r="D38">
        <v>1971</v>
      </c>
      <c r="E38">
        <v>3035</v>
      </c>
      <c r="F38">
        <v>6058</v>
      </c>
      <c r="H38">
        <v>1512</v>
      </c>
      <c r="J38">
        <v>6719</v>
      </c>
      <c r="L38">
        <v>1413</v>
      </c>
      <c r="N38">
        <v>6314</v>
      </c>
      <c r="P38">
        <v>1405</v>
      </c>
      <c r="R38">
        <v>6118</v>
      </c>
      <c r="T38">
        <v>1524</v>
      </c>
      <c r="V38">
        <v>7817</v>
      </c>
      <c r="X38">
        <v>7041</v>
      </c>
      <c r="Z38">
        <v>7218</v>
      </c>
      <c r="AB38">
        <v>6809</v>
      </c>
      <c r="AD38">
        <v>6338</v>
      </c>
      <c r="AF38">
        <v>7086</v>
      </c>
      <c r="AH38">
        <v>6635</v>
      </c>
      <c r="AJ38">
        <v>6518</v>
      </c>
      <c r="AL38">
        <v>7121</v>
      </c>
      <c r="AN38">
        <v>8990</v>
      </c>
      <c r="AP38">
        <v>11458</v>
      </c>
      <c r="AQ38">
        <v>10203</v>
      </c>
      <c r="AR38">
        <v>11786</v>
      </c>
      <c r="AS38">
        <v>10414</v>
      </c>
      <c r="AT38">
        <v>10667</v>
      </c>
      <c r="AU38">
        <v>10498</v>
      </c>
      <c r="AV38">
        <v>10798</v>
      </c>
      <c r="AW38">
        <v>11771</v>
      </c>
      <c r="AX38">
        <v>11406</v>
      </c>
      <c r="AY38">
        <v>12257</v>
      </c>
      <c r="AZ38">
        <v>11510</v>
      </c>
      <c r="BA38">
        <v>10748</v>
      </c>
      <c r="BB38">
        <v>11584</v>
      </c>
      <c r="BC38">
        <v>15842</v>
      </c>
      <c r="BD38">
        <v>17477</v>
      </c>
      <c r="BE38">
        <v>18200</v>
      </c>
      <c r="BF38">
        <v>19511</v>
      </c>
      <c r="BG38">
        <v>18081</v>
      </c>
      <c r="BH38">
        <v>64468</v>
      </c>
      <c r="BI38">
        <v>63832</v>
      </c>
      <c r="BJ38">
        <v>64325</v>
      </c>
      <c r="BK38">
        <v>62783</v>
      </c>
      <c r="BL38">
        <v>58022</v>
      </c>
      <c r="BM38">
        <v>64718</v>
      </c>
      <c r="BN38">
        <v>59257</v>
      </c>
      <c r="BO38">
        <v>55403</v>
      </c>
      <c r="BP38">
        <v>54820</v>
      </c>
      <c r="BQ38">
        <v>61076</v>
      </c>
      <c r="BR38">
        <v>59983</v>
      </c>
    </row>
    <row r="39" spans="1:73" x14ac:dyDescent="0.3">
      <c r="A39" t="s">
        <v>18</v>
      </c>
      <c r="B39">
        <v>7193</v>
      </c>
      <c r="C39">
        <v>7064</v>
      </c>
      <c r="D39">
        <v>8305</v>
      </c>
      <c r="E39">
        <v>7065</v>
      </c>
      <c r="F39">
        <v>10958</v>
      </c>
      <c r="H39">
        <v>12713</v>
      </c>
      <c r="J39">
        <v>12221</v>
      </c>
      <c r="L39">
        <v>12146</v>
      </c>
      <c r="N39">
        <v>12147</v>
      </c>
      <c r="P39">
        <v>11146</v>
      </c>
      <c r="R39">
        <v>10834</v>
      </c>
      <c r="T39">
        <v>10835</v>
      </c>
      <c r="V39">
        <v>14271</v>
      </c>
      <c r="X39">
        <v>12191</v>
      </c>
      <c r="Z39">
        <v>11658</v>
      </c>
      <c r="AB39">
        <v>11975</v>
      </c>
      <c r="AD39">
        <v>12174</v>
      </c>
      <c r="AF39">
        <v>12279</v>
      </c>
      <c r="AH39">
        <v>11088</v>
      </c>
      <c r="AJ39">
        <v>10975</v>
      </c>
      <c r="AL39">
        <v>11675</v>
      </c>
      <c r="AN39">
        <v>14668</v>
      </c>
      <c r="AP39">
        <v>20336</v>
      </c>
      <c r="AQ39">
        <v>17832</v>
      </c>
      <c r="AR39">
        <v>18702</v>
      </c>
      <c r="AS39">
        <v>17973</v>
      </c>
      <c r="AT39">
        <v>18312</v>
      </c>
      <c r="AU39">
        <v>18767</v>
      </c>
      <c r="AV39">
        <v>18645</v>
      </c>
      <c r="AW39">
        <v>19407</v>
      </c>
      <c r="AX39">
        <v>19548</v>
      </c>
      <c r="AY39">
        <v>20601</v>
      </c>
      <c r="AZ39">
        <v>19946</v>
      </c>
      <c r="BA39">
        <v>19927</v>
      </c>
      <c r="BB39">
        <v>20353</v>
      </c>
      <c r="BC39">
        <v>22427</v>
      </c>
      <c r="BD39">
        <v>26483</v>
      </c>
      <c r="BE39">
        <v>29987</v>
      </c>
      <c r="BF39">
        <v>31367</v>
      </c>
      <c r="BG39">
        <v>31277</v>
      </c>
      <c r="BH39">
        <v>80073</v>
      </c>
      <c r="BI39">
        <v>79882</v>
      </c>
      <c r="BJ39">
        <v>80654</v>
      </c>
      <c r="BK39">
        <v>82576</v>
      </c>
      <c r="BL39">
        <v>76845</v>
      </c>
      <c r="BM39">
        <v>83252</v>
      </c>
      <c r="BN39">
        <v>74735</v>
      </c>
      <c r="BO39">
        <v>73821</v>
      </c>
      <c r="BP39">
        <v>69964</v>
      </c>
      <c r="BQ39">
        <v>77802</v>
      </c>
      <c r="BR39">
        <v>77836</v>
      </c>
    </row>
    <row r="40" spans="1:73" x14ac:dyDescent="0.3">
      <c r="A40" t="s">
        <v>218</v>
      </c>
    </row>
    <row r="41" spans="1:73" x14ac:dyDescent="0.3">
      <c r="A41" t="s">
        <v>219</v>
      </c>
      <c r="B41">
        <v>772</v>
      </c>
      <c r="C41">
        <v>775</v>
      </c>
      <c r="D41">
        <v>388</v>
      </c>
      <c r="E41">
        <v>393</v>
      </c>
      <c r="F41">
        <v>605</v>
      </c>
      <c r="J41">
        <v>575</v>
      </c>
      <c r="N41">
        <v>575</v>
      </c>
      <c r="R41">
        <v>576</v>
      </c>
      <c r="V41">
        <v>550</v>
      </c>
      <c r="Z41">
        <v>535</v>
      </c>
      <c r="AD41">
        <v>524</v>
      </c>
      <c r="AF41">
        <v>520</v>
      </c>
      <c r="AH41">
        <v>517</v>
      </c>
      <c r="AJ41">
        <v>509</v>
      </c>
      <c r="AL41">
        <v>506</v>
      </c>
      <c r="AN41">
        <v>506</v>
      </c>
      <c r="AP41">
        <v>506</v>
      </c>
      <c r="AQ41">
        <v>506</v>
      </c>
      <c r="AR41">
        <v>506</v>
      </c>
      <c r="AS41">
        <v>506</v>
      </c>
      <c r="AT41">
        <v>506</v>
      </c>
      <c r="AU41">
        <v>506</v>
      </c>
      <c r="AV41">
        <v>506</v>
      </c>
      <c r="AW41">
        <v>507</v>
      </c>
      <c r="AX41">
        <v>507</v>
      </c>
      <c r="AY41">
        <v>507</v>
      </c>
      <c r="AZ41">
        <v>507</v>
      </c>
      <c r="BA41">
        <v>507</v>
      </c>
      <c r="BB41">
        <v>507</v>
      </c>
      <c r="BC41">
        <v>507</v>
      </c>
      <c r="BD41">
        <v>507</v>
      </c>
      <c r="BE41">
        <v>507</v>
      </c>
      <c r="BF41">
        <v>507</v>
      </c>
      <c r="BG41">
        <v>507</v>
      </c>
      <c r="BH41">
        <v>614</v>
      </c>
      <c r="BI41">
        <v>614</v>
      </c>
      <c r="BJ41">
        <v>614</v>
      </c>
      <c r="BK41">
        <v>614</v>
      </c>
      <c r="BL41">
        <v>614</v>
      </c>
      <c r="BM41">
        <v>614</v>
      </c>
      <c r="BN41">
        <v>614</v>
      </c>
      <c r="BO41">
        <v>614</v>
      </c>
      <c r="BP41">
        <v>614</v>
      </c>
      <c r="BQ41">
        <v>614</v>
      </c>
      <c r="BR41">
        <v>614</v>
      </c>
    </row>
    <row r="42" spans="1:73" x14ac:dyDescent="0.3">
      <c r="A42" t="s">
        <v>220</v>
      </c>
    </row>
    <row r="43" spans="1:73" x14ac:dyDescent="0.3">
      <c r="A43" t="s">
        <v>221</v>
      </c>
      <c r="B43">
        <v>772</v>
      </c>
      <c r="C43">
        <v>775</v>
      </c>
      <c r="D43">
        <v>388</v>
      </c>
      <c r="E43">
        <v>393</v>
      </c>
      <c r="F43">
        <v>605</v>
      </c>
      <c r="J43">
        <v>575</v>
      </c>
      <c r="N43">
        <v>575</v>
      </c>
      <c r="R43">
        <v>576</v>
      </c>
      <c r="V43">
        <v>550</v>
      </c>
      <c r="Z43">
        <v>535</v>
      </c>
      <c r="AD43">
        <v>524</v>
      </c>
      <c r="AF43">
        <v>520</v>
      </c>
      <c r="AH43">
        <v>517</v>
      </c>
      <c r="AJ43">
        <v>509</v>
      </c>
      <c r="AL43">
        <v>506</v>
      </c>
      <c r="AN43">
        <v>506</v>
      </c>
      <c r="AP43">
        <v>506</v>
      </c>
      <c r="AQ43">
        <v>506</v>
      </c>
      <c r="AR43">
        <v>506</v>
      </c>
      <c r="AS43">
        <v>506</v>
      </c>
      <c r="AT43">
        <v>506</v>
      </c>
      <c r="AU43">
        <v>506</v>
      </c>
      <c r="AV43">
        <v>506</v>
      </c>
      <c r="AW43">
        <v>507</v>
      </c>
      <c r="AX43">
        <v>507</v>
      </c>
      <c r="AY43">
        <v>507</v>
      </c>
      <c r="AZ43">
        <v>507</v>
      </c>
      <c r="BA43">
        <v>507</v>
      </c>
      <c r="BB43">
        <v>507</v>
      </c>
      <c r="BC43">
        <v>507</v>
      </c>
      <c r="BD43">
        <v>507</v>
      </c>
      <c r="BE43">
        <v>507</v>
      </c>
      <c r="BF43">
        <v>507</v>
      </c>
      <c r="BG43">
        <v>507</v>
      </c>
      <c r="BH43">
        <v>614</v>
      </c>
      <c r="BI43">
        <v>614</v>
      </c>
      <c r="BJ43">
        <v>614</v>
      </c>
      <c r="BK43">
        <v>614</v>
      </c>
      <c r="BL43">
        <v>614</v>
      </c>
      <c r="BM43">
        <v>614</v>
      </c>
      <c r="BN43">
        <v>614</v>
      </c>
      <c r="BO43">
        <v>614</v>
      </c>
      <c r="BP43">
        <v>614</v>
      </c>
      <c r="BQ43">
        <v>614</v>
      </c>
      <c r="BR43">
        <v>614</v>
      </c>
    </row>
    <row r="44" spans="1:73" x14ac:dyDescent="0.3">
      <c r="A44" t="s">
        <v>222</v>
      </c>
      <c r="B44">
        <v>14</v>
      </c>
      <c r="C44">
        <v>24</v>
      </c>
      <c r="E44">
        <v>1</v>
      </c>
      <c r="F44">
        <v>4</v>
      </c>
      <c r="J44">
        <v>7</v>
      </c>
      <c r="N44">
        <v>10</v>
      </c>
      <c r="R44">
        <v>27</v>
      </c>
      <c r="V44">
        <v>90</v>
      </c>
      <c r="Z44">
        <v>3857</v>
      </c>
      <c r="AD44">
        <v>3957</v>
      </c>
      <c r="AF44">
        <v>134</v>
      </c>
      <c r="AH44">
        <v>3976</v>
      </c>
      <c r="AJ44">
        <v>3898</v>
      </c>
      <c r="AL44">
        <v>3606</v>
      </c>
      <c r="AN44">
        <v>3905</v>
      </c>
      <c r="AP44">
        <v>3905</v>
      </c>
      <c r="AQ44">
        <v>3907</v>
      </c>
      <c r="AR44">
        <v>3907</v>
      </c>
      <c r="AS44">
        <v>3910</v>
      </c>
      <c r="AT44">
        <v>3910</v>
      </c>
      <c r="AU44">
        <v>3912</v>
      </c>
      <c r="AV44">
        <v>3913</v>
      </c>
      <c r="AW44">
        <v>3916</v>
      </c>
      <c r="AX44">
        <v>168</v>
      </c>
      <c r="AY44">
        <v>3919</v>
      </c>
      <c r="AZ44">
        <v>171</v>
      </c>
      <c r="BA44">
        <v>3922</v>
      </c>
      <c r="BB44">
        <v>175</v>
      </c>
      <c r="BC44">
        <v>3926</v>
      </c>
      <c r="BD44">
        <v>3927</v>
      </c>
      <c r="BE44">
        <v>3929</v>
      </c>
      <c r="BF44">
        <v>183</v>
      </c>
      <c r="BG44">
        <v>3933</v>
      </c>
      <c r="BH44">
        <v>188</v>
      </c>
      <c r="BI44">
        <v>26605</v>
      </c>
      <c r="BJ44">
        <v>192</v>
      </c>
      <c r="BK44">
        <v>26607</v>
      </c>
      <c r="BL44">
        <v>195</v>
      </c>
      <c r="BM44">
        <v>26617</v>
      </c>
      <c r="BN44">
        <v>204</v>
      </c>
      <c r="BO44">
        <v>26622</v>
      </c>
      <c r="BP44">
        <v>208</v>
      </c>
      <c r="BQ44">
        <v>26627</v>
      </c>
      <c r="BR44">
        <v>214</v>
      </c>
    </row>
    <row r="45" spans="1:73" x14ac:dyDescent="0.3">
      <c r="A45" t="s">
        <v>223</v>
      </c>
      <c r="BN45">
        <v>5150</v>
      </c>
      <c r="BP45">
        <v>5122</v>
      </c>
      <c r="BR45">
        <v>7116</v>
      </c>
    </row>
    <row r="46" spans="1:73" x14ac:dyDescent="0.3">
      <c r="A46" t="s">
        <v>224</v>
      </c>
      <c r="B46">
        <v>-283</v>
      </c>
      <c r="C46">
        <v>-98</v>
      </c>
      <c r="D46">
        <v>-915</v>
      </c>
      <c r="E46">
        <v>-813</v>
      </c>
      <c r="F46">
        <v>-1017</v>
      </c>
      <c r="J46">
        <v>-501</v>
      </c>
      <c r="N46">
        <v>-621</v>
      </c>
      <c r="R46">
        <v>6</v>
      </c>
      <c r="V46">
        <v>-470</v>
      </c>
      <c r="Z46">
        <v>902</v>
      </c>
      <c r="AD46">
        <v>1251</v>
      </c>
      <c r="AF46">
        <v>1297</v>
      </c>
      <c r="AH46">
        <v>1639</v>
      </c>
      <c r="AJ46">
        <v>1534</v>
      </c>
      <c r="AL46">
        <v>1805</v>
      </c>
      <c r="AN46">
        <v>1825</v>
      </c>
      <c r="AP46">
        <v>1578</v>
      </c>
      <c r="AQ46">
        <v>1622</v>
      </c>
      <c r="AR46">
        <v>2168</v>
      </c>
      <c r="AS46">
        <v>2319</v>
      </c>
      <c r="AT46">
        <v>3190</v>
      </c>
      <c r="AU46">
        <v>2859</v>
      </c>
      <c r="AV46">
        <v>2636</v>
      </c>
      <c r="AW46">
        <v>1800</v>
      </c>
      <c r="AX46">
        <v>2253</v>
      </c>
      <c r="AY46">
        <v>1844</v>
      </c>
      <c r="AZ46">
        <v>2398</v>
      </c>
      <c r="BA46">
        <v>1386</v>
      </c>
      <c r="BB46">
        <v>1578</v>
      </c>
      <c r="BC46">
        <v>2478</v>
      </c>
      <c r="BD46">
        <v>1754</v>
      </c>
      <c r="BE46">
        <v>2023</v>
      </c>
      <c r="BF46">
        <v>3331</v>
      </c>
      <c r="BG46">
        <v>3388</v>
      </c>
      <c r="BH46">
        <v>36935</v>
      </c>
      <c r="BI46">
        <v>37608</v>
      </c>
      <c r="BJ46">
        <v>38557</v>
      </c>
      <c r="BK46">
        <v>38322</v>
      </c>
      <c r="BL46">
        <v>40234</v>
      </c>
      <c r="BM46">
        <v>41422</v>
      </c>
      <c r="BN46">
        <v>47191</v>
      </c>
      <c r="BO46">
        <v>43022</v>
      </c>
      <c r="BP46">
        <v>49334</v>
      </c>
      <c r="BQ46">
        <v>42558</v>
      </c>
      <c r="BR46">
        <v>51197</v>
      </c>
    </row>
    <row r="47" spans="1:73" x14ac:dyDescent="0.3">
      <c r="A47" t="s">
        <v>225</v>
      </c>
      <c r="D47">
        <v>430</v>
      </c>
      <c r="E47">
        <v>483</v>
      </c>
      <c r="F47">
        <v>5229</v>
      </c>
      <c r="H47">
        <v>5449</v>
      </c>
      <c r="J47">
        <v>5016</v>
      </c>
      <c r="L47">
        <v>5287</v>
      </c>
      <c r="N47">
        <v>4790</v>
      </c>
      <c r="P47">
        <v>5144</v>
      </c>
      <c r="R47">
        <v>4576</v>
      </c>
      <c r="T47">
        <v>5145</v>
      </c>
      <c r="V47">
        <v>4313</v>
      </c>
      <c r="X47">
        <v>4093</v>
      </c>
      <c r="Z47">
        <v>625</v>
      </c>
      <c r="AB47">
        <v>5996</v>
      </c>
      <c r="AD47">
        <v>898</v>
      </c>
      <c r="AF47">
        <v>4422</v>
      </c>
      <c r="AH47">
        <v>329</v>
      </c>
      <c r="AJ47">
        <v>499</v>
      </c>
      <c r="AL47">
        <v>954</v>
      </c>
      <c r="AN47">
        <v>381</v>
      </c>
      <c r="AP47">
        <v>955</v>
      </c>
      <c r="AQ47">
        <v>647</v>
      </c>
      <c r="AR47">
        <v>1032</v>
      </c>
      <c r="AS47">
        <v>1631</v>
      </c>
      <c r="AT47">
        <v>1600</v>
      </c>
      <c r="AU47">
        <v>1428</v>
      </c>
      <c r="AV47">
        <v>1112</v>
      </c>
      <c r="AW47">
        <v>1001</v>
      </c>
      <c r="AX47">
        <v>4544</v>
      </c>
      <c r="AY47">
        <v>688</v>
      </c>
      <c r="AZ47">
        <v>3558</v>
      </c>
      <c r="BA47">
        <v>-360</v>
      </c>
      <c r="BB47">
        <v>3250</v>
      </c>
      <c r="BC47">
        <v>-924</v>
      </c>
      <c r="BD47">
        <v>-1294</v>
      </c>
      <c r="BE47">
        <v>-349</v>
      </c>
      <c r="BF47">
        <v>4161</v>
      </c>
      <c r="BG47">
        <v>-111</v>
      </c>
      <c r="BH47">
        <v>23022</v>
      </c>
      <c r="BI47">
        <v>-2426</v>
      </c>
      <c r="BJ47">
        <v>26081</v>
      </c>
      <c r="BK47">
        <v>-261</v>
      </c>
      <c r="BL47">
        <v>22859</v>
      </c>
      <c r="BM47">
        <v>490</v>
      </c>
      <c r="BN47">
        <v>19814</v>
      </c>
      <c r="BO47">
        <v>-7361</v>
      </c>
      <c r="BP47">
        <v>22067</v>
      </c>
      <c r="BQ47">
        <v>3956</v>
      </c>
      <c r="BR47">
        <v>30459</v>
      </c>
    </row>
    <row r="48" spans="1:73" x14ac:dyDescent="0.3">
      <c r="A48" t="s">
        <v>226</v>
      </c>
      <c r="B48">
        <v>503</v>
      </c>
      <c r="C48">
        <v>701</v>
      </c>
      <c r="D48">
        <v>-97</v>
      </c>
      <c r="E48">
        <v>64</v>
      </c>
      <c r="F48">
        <v>4821</v>
      </c>
      <c r="H48">
        <v>5449</v>
      </c>
      <c r="J48">
        <v>5097</v>
      </c>
      <c r="L48">
        <v>5287</v>
      </c>
      <c r="N48">
        <v>4754</v>
      </c>
      <c r="P48">
        <v>5144</v>
      </c>
      <c r="R48">
        <v>5185</v>
      </c>
      <c r="S48">
        <v>-267</v>
      </c>
      <c r="T48">
        <v>5145</v>
      </c>
      <c r="U48">
        <v>-223</v>
      </c>
      <c r="V48">
        <v>4483</v>
      </c>
      <c r="W48">
        <v>-225</v>
      </c>
      <c r="X48">
        <v>4093</v>
      </c>
      <c r="Y48">
        <v>-222</v>
      </c>
      <c r="Z48">
        <v>5919</v>
      </c>
      <c r="AA48">
        <v>-198</v>
      </c>
      <c r="AB48">
        <v>5996</v>
      </c>
      <c r="AC48">
        <v>-225</v>
      </c>
      <c r="AD48">
        <v>6630</v>
      </c>
      <c r="AE48">
        <v>-247</v>
      </c>
      <c r="AF48">
        <v>6373</v>
      </c>
      <c r="AG48">
        <v>-233</v>
      </c>
      <c r="AH48">
        <v>6461</v>
      </c>
      <c r="AI48">
        <v>-227</v>
      </c>
      <c r="AJ48">
        <v>6440</v>
      </c>
      <c r="AK48">
        <v>-236</v>
      </c>
      <c r="AL48">
        <v>6871</v>
      </c>
      <c r="AM48">
        <v>-218</v>
      </c>
      <c r="AN48">
        <v>6617</v>
      </c>
      <c r="AO48">
        <v>-248</v>
      </c>
      <c r="AP48">
        <v>6944</v>
      </c>
      <c r="AQ48">
        <v>6682</v>
      </c>
      <c r="AR48">
        <v>7613</v>
      </c>
      <c r="AS48">
        <v>8366</v>
      </c>
      <c r="AT48">
        <v>9206</v>
      </c>
      <c r="AU48">
        <v>8705</v>
      </c>
      <c r="AV48">
        <v>8167</v>
      </c>
      <c r="AW48">
        <v>7224</v>
      </c>
      <c r="AX48">
        <v>7472</v>
      </c>
      <c r="AY48">
        <v>6958</v>
      </c>
      <c r="AZ48">
        <v>6634</v>
      </c>
      <c r="BA48">
        <v>5455</v>
      </c>
      <c r="BB48">
        <v>5510</v>
      </c>
      <c r="BC48">
        <v>5987</v>
      </c>
      <c r="BD48">
        <v>4894</v>
      </c>
      <c r="BE48">
        <v>6110</v>
      </c>
      <c r="BF48">
        <v>8182</v>
      </c>
      <c r="BG48">
        <v>7717</v>
      </c>
      <c r="BH48">
        <v>60759</v>
      </c>
      <c r="BI48">
        <v>62401</v>
      </c>
      <c r="BJ48">
        <v>65444</v>
      </c>
      <c r="BK48">
        <v>65282</v>
      </c>
      <c r="BL48">
        <v>63902</v>
      </c>
      <c r="BM48">
        <v>69143</v>
      </c>
      <c r="BN48">
        <v>62673</v>
      </c>
      <c r="BO48">
        <v>62897</v>
      </c>
      <c r="BP48">
        <v>67101</v>
      </c>
      <c r="BQ48">
        <v>73755</v>
      </c>
      <c r="BR48">
        <v>75368</v>
      </c>
      <c r="BS48">
        <v>78196.7</v>
      </c>
      <c r="BT48">
        <v>80721.399999999994</v>
      </c>
      <c r="BU48">
        <v>83058.3</v>
      </c>
    </row>
    <row r="49" spans="1:73" x14ac:dyDescent="0.3">
      <c r="A49" t="s">
        <v>227</v>
      </c>
      <c r="B49">
        <v>364</v>
      </c>
      <c r="C49">
        <v>327</v>
      </c>
      <c r="D49">
        <v>342</v>
      </c>
      <c r="E49">
        <v>323</v>
      </c>
      <c r="F49">
        <v>455</v>
      </c>
      <c r="H49">
        <v>466</v>
      </c>
      <c r="J49">
        <v>419</v>
      </c>
      <c r="L49">
        <v>382</v>
      </c>
      <c r="N49">
        <v>329</v>
      </c>
      <c r="P49">
        <v>280</v>
      </c>
      <c r="R49">
        <v>267</v>
      </c>
      <c r="T49">
        <v>223</v>
      </c>
      <c r="V49">
        <v>225</v>
      </c>
      <c r="X49">
        <v>222</v>
      </c>
      <c r="Z49">
        <v>198</v>
      </c>
      <c r="AB49">
        <v>225</v>
      </c>
      <c r="AD49">
        <v>247</v>
      </c>
      <c r="AF49">
        <v>233</v>
      </c>
      <c r="AH49">
        <v>227</v>
      </c>
      <c r="AJ49">
        <v>236</v>
      </c>
      <c r="AL49">
        <v>218</v>
      </c>
      <c r="AN49">
        <v>248</v>
      </c>
      <c r="AP49">
        <v>271</v>
      </c>
      <c r="AQ49">
        <v>311</v>
      </c>
      <c r="AR49">
        <v>299</v>
      </c>
      <c r="AS49">
        <v>338</v>
      </c>
      <c r="AT49">
        <v>342</v>
      </c>
      <c r="AU49">
        <v>337</v>
      </c>
      <c r="AV49">
        <v>307</v>
      </c>
      <c r="AW49">
        <v>303</v>
      </c>
      <c r="AX49">
        <v>307</v>
      </c>
      <c r="AY49">
        <v>308</v>
      </c>
      <c r="AZ49">
        <v>301</v>
      </c>
      <c r="BA49">
        <v>296</v>
      </c>
      <c r="BB49">
        <v>304</v>
      </c>
      <c r="BC49">
        <v>261</v>
      </c>
      <c r="BD49">
        <v>138</v>
      </c>
      <c r="BE49">
        <v>142</v>
      </c>
      <c r="BF49">
        <v>224</v>
      </c>
      <c r="BG49">
        <v>192</v>
      </c>
      <c r="BH49">
        <v>222</v>
      </c>
      <c r="BI49">
        <v>218</v>
      </c>
      <c r="BJ49">
        <v>244</v>
      </c>
      <c r="BK49">
        <v>254</v>
      </c>
      <c r="BL49">
        <v>258</v>
      </c>
      <c r="BM49">
        <v>282</v>
      </c>
      <c r="BN49">
        <v>282</v>
      </c>
      <c r="BO49">
        <v>277</v>
      </c>
      <c r="BP49">
        <v>300</v>
      </c>
      <c r="BQ49">
        <v>314</v>
      </c>
      <c r="BR49">
        <v>342</v>
      </c>
    </row>
    <row r="50" spans="1:73" x14ac:dyDescent="0.3">
      <c r="A50" t="s">
        <v>22</v>
      </c>
      <c r="B50">
        <v>867</v>
      </c>
      <c r="C50">
        <v>1028</v>
      </c>
      <c r="D50">
        <v>245</v>
      </c>
      <c r="E50">
        <v>387</v>
      </c>
      <c r="F50">
        <v>5276</v>
      </c>
      <c r="H50">
        <v>5915</v>
      </c>
      <c r="J50">
        <v>5516</v>
      </c>
      <c r="L50">
        <v>5669</v>
      </c>
      <c r="N50">
        <v>5083</v>
      </c>
      <c r="P50">
        <v>5424</v>
      </c>
      <c r="R50">
        <v>5452</v>
      </c>
      <c r="T50">
        <v>5368</v>
      </c>
      <c r="V50">
        <v>4708</v>
      </c>
      <c r="X50">
        <v>4315</v>
      </c>
      <c r="Z50">
        <v>6117</v>
      </c>
      <c r="AB50">
        <v>6221</v>
      </c>
      <c r="AD50">
        <v>6877</v>
      </c>
      <c r="AF50">
        <v>6606</v>
      </c>
      <c r="AH50">
        <v>6688</v>
      </c>
      <c r="AJ50">
        <v>6676</v>
      </c>
      <c r="AL50">
        <v>7089</v>
      </c>
      <c r="AN50">
        <v>6865</v>
      </c>
      <c r="AP50">
        <v>7215</v>
      </c>
      <c r="AQ50">
        <v>6993</v>
      </c>
      <c r="AR50">
        <v>7912</v>
      </c>
      <c r="AS50">
        <v>8704</v>
      </c>
      <c r="AT50">
        <v>9548</v>
      </c>
      <c r="AU50">
        <v>9042</v>
      </c>
      <c r="AV50">
        <v>8474</v>
      </c>
      <c r="AW50">
        <v>7527</v>
      </c>
      <c r="AX50">
        <v>7779</v>
      </c>
      <c r="AY50">
        <v>7266</v>
      </c>
      <c r="AZ50">
        <v>6935</v>
      </c>
      <c r="BA50">
        <v>5751</v>
      </c>
      <c r="BB50">
        <v>5814</v>
      </c>
      <c r="BC50">
        <v>6248</v>
      </c>
      <c r="BD50">
        <v>5032</v>
      </c>
      <c r="BE50">
        <v>6252</v>
      </c>
      <c r="BF50">
        <v>8406</v>
      </c>
      <c r="BG50">
        <v>7909</v>
      </c>
      <c r="BH50">
        <v>60981</v>
      </c>
      <c r="BI50">
        <v>62619</v>
      </c>
      <c r="BJ50">
        <v>65688</v>
      </c>
      <c r="BK50">
        <v>65536</v>
      </c>
      <c r="BL50">
        <v>64160</v>
      </c>
      <c r="BM50">
        <v>69425</v>
      </c>
      <c r="BN50">
        <v>62955</v>
      </c>
      <c r="BO50">
        <v>63174</v>
      </c>
      <c r="BP50">
        <v>67401</v>
      </c>
      <c r="BQ50">
        <v>74069</v>
      </c>
      <c r="BR50">
        <v>75710</v>
      </c>
    </row>
    <row r="51" spans="1:73" x14ac:dyDescent="0.3">
      <c r="A51" t="s">
        <v>228</v>
      </c>
      <c r="B51">
        <v>8060</v>
      </c>
      <c r="C51">
        <v>8092</v>
      </c>
      <c r="D51">
        <v>8550</v>
      </c>
      <c r="E51">
        <v>7452</v>
      </c>
      <c r="F51">
        <v>16234</v>
      </c>
      <c r="H51">
        <v>18628</v>
      </c>
      <c r="J51">
        <v>17737</v>
      </c>
      <c r="L51">
        <v>17815</v>
      </c>
      <c r="N51">
        <v>17230</v>
      </c>
      <c r="P51">
        <v>16570</v>
      </c>
      <c r="R51">
        <v>16286</v>
      </c>
      <c r="T51">
        <v>16203</v>
      </c>
      <c r="V51">
        <v>18979</v>
      </c>
      <c r="X51">
        <v>16506</v>
      </c>
      <c r="Z51">
        <v>17775</v>
      </c>
      <c r="AB51">
        <v>18196</v>
      </c>
      <c r="AD51">
        <v>19051</v>
      </c>
      <c r="AF51">
        <v>18885</v>
      </c>
      <c r="AH51">
        <v>17776</v>
      </c>
      <c r="AJ51">
        <v>17651</v>
      </c>
      <c r="AL51">
        <v>18764</v>
      </c>
      <c r="AN51">
        <v>21533</v>
      </c>
      <c r="AP51">
        <v>27551</v>
      </c>
      <c r="AQ51">
        <v>24825</v>
      </c>
      <c r="AR51">
        <v>26614</v>
      </c>
      <c r="AS51">
        <v>26677</v>
      </c>
      <c r="AT51">
        <v>27860</v>
      </c>
      <c r="AU51">
        <v>27809</v>
      </c>
      <c r="AV51">
        <v>27119</v>
      </c>
      <c r="AW51">
        <v>26934</v>
      </c>
      <c r="AX51">
        <v>27327</v>
      </c>
      <c r="AY51">
        <v>27867</v>
      </c>
      <c r="AZ51">
        <v>26881</v>
      </c>
      <c r="BA51">
        <v>25678</v>
      </c>
      <c r="BB51">
        <v>26167</v>
      </c>
      <c r="BC51">
        <v>28675</v>
      </c>
      <c r="BD51">
        <v>31515</v>
      </c>
      <c r="BE51">
        <v>36239</v>
      </c>
      <c r="BF51">
        <v>39773</v>
      </c>
      <c r="BG51">
        <v>39186</v>
      </c>
      <c r="BH51">
        <v>141054</v>
      </c>
      <c r="BI51">
        <v>142501</v>
      </c>
      <c r="BJ51">
        <v>146342</v>
      </c>
      <c r="BK51">
        <v>148112</v>
      </c>
      <c r="BL51">
        <v>141005</v>
      </c>
      <c r="BM51">
        <v>152677</v>
      </c>
      <c r="BN51">
        <v>137690</v>
      </c>
      <c r="BO51">
        <v>136995</v>
      </c>
      <c r="BP51">
        <v>137365</v>
      </c>
      <c r="BQ51">
        <v>151871</v>
      </c>
      <c r="BR51">
        <v>153546</v>
      </c>
    </row>
    <row r="52" spans="1:73" x14ac:dyDescent="0.3">
      <c r="A52" t="s">
        <v>229</v>
      </c>
    </row>
    <row r="53" spans="1:73" x14ac:dyDescent="0.3">
      <c r="A53" t="s">
        <v>230</v>
      </c>
      <c r="BN53">
        <v>338</v>
      </c>
      <c r="BP53">
        <v>320</v>
      </c>
      <c r="BR53">
        <v>375</v>
      </c>
    </row>
    <row r="54" spans="1:73" x14ac:dyDescent="0.3">
      <c r="A54" t="s">
        <v>231</v>
      </c>
      <c r="B54">
        <v>2546</v>
      </c>
      <c r="C54">
        <v>2327</v>
      </c>
      <c r="D54">
        <v>1068</v>
      </c>
      <c r="E54">
        <v>2135</v>
      </c>
      <c r="F54">
        <v>4643</v>
      </c>
      <c r="J54">
        <v>5066</v>
      </c>
      <c r="N54">
        <v>4642</v>
      </c>
      <c r="R54">
        <v>4618</v>
      </c>
      <c r="V54">
        <v>6089</v>
      </c>
      <c r="X54">
        <v>6344</v>
      </c>
      <c r="Z54">
        <v>6049</v>
      </c>
      <c r="AB54">
        <v>5728</v>
      </c>
      <c r="AD54">
        <v>5058</v>
      </c>
      <c r="AF54">
        <v>5988</v>
      </c>
      <c r="AH54">
        <v>5568</v>
      </c>
      <c r="AJ54">
        <v>5440</v>
      </c>
      <c r="AL54">
        <v>6062</v>
      </c>
      <c r="AN54">
        <v>7895</v>
      </c>
      <c r="AP54">
        <v>9437</v>
      </c>
      <c r="AQ54">
        <v>8369</v>
      </c>
      <c r="AR54">
        <v>9712</v>
      </c>
      <c r="AS54">
        <v>8656</v>
      </c>
      <c r="AT54">
        <v>8916</v>
      </c>
      <c r="AU54">
        <v>8713</v>
      </c>
      <c r="AV54">
        <v>8510</v>
      </c>
      <c r="AW54">
        <v>9526</v>
      </c>
      <c r="AX54">
        <v>9083</v>
      </c>
      <c r="AY54">
        <v>10147</v>
      </c>
      <c r="AZ54">
        <v>9716</v>
      </c>
      <c r="BA54">
        <v>9029</v>
      </c>
      <c r="BB54">
        <v>9779</v>
      </c>
      <c r="BC54">
        <v>14131</v>
      </c>
      <c r="BD54">
        <v>14806</v>
      </c>
      <c r="BE54">
        <v>14888</v>
      </c>
      <c r="BF54">
        <v>16488</v>
      </c>
      <c r="BG54">
        <v>15085</v>
      </c>
      <c r="BH54">
        <v>44027</v>
      </c>
      <c r="BI54">
        <v>43225</v>
      </c>
      <c r="BJ54">
        <v>43284</v>
      </c>
      <c r="BK54">
        <v>41581</v>
      </c>
      <c r="BL54">
        <v>37804</v>
      </c>
      <c r="BM54">
        <v>43395</v>
      </c>
      <c r="BN54">
        <v>39927</v>
      </c>
      <c r="BO54">
        <v>36361</v>
      </c>
      <c r="BP54">
        <v>35666</v>
      </c>
      <c r="BQ54">
        <v>39724</v>
      </c>
      <c r="BR54">
        <v>38726</v>
      </c>
    </row>
    <row r="55" spans="1:73" x14ac:dyDescent="0.3">
      <c r="A55" t="s">
        <v>232</v>
      </c>
      <c r="BN55">
        <v>137</v>
      </c>
      <c r="BP55">
        <v>126</v>
      </c>
      <c r="BR55">
        <v>142</v>
      </c>
    </row>
    <row r="56" spans="1:73" x14ac:dyDescent="0.3">
      <c r="A56" t="s">
        <v>233</v>
      </c>
      <c r="B56">
        <v>1012</v>
      </c>
      <c r="C56">
        <v>1110</v>
      </c>
      <c r="D56">
        <v>3528</v>
      </c>
      <c r="E56">
        <v>1595</v>
      </c>
      <c r="F56">
        <v>1033</v>
      </c>
      <c r="H56">
        <v>7110</v>
      </c>
      <c r="J56">
        <v>1085</v>
      </c>
      <c r="L56">
        <v>6333</v>
      </c>
      <c r="N56">
        <v>1508</v>
      </c>
      <c r="P56">
        <v>5692</v>
      </c>
      <c r="R56">
        <v>696</v>
      </c>
      <c r="T56">
        <v>5464</v>
      </c>
      <c r="V56">
        <v>1521</v>
      </c>
      <c r="X56">
        <v>759</v>
      </c>
      <c r="Z56">
        <v>1139</v>
      </c>
      <c r="AB56">
        <v>1838</v>
      </c>
      <c r="AD56">
        <v>2202</v>
      </c>
      <c r="AF56">
        <v>1895</v>
      </c>
      <c r="AH56">
        <v>1058</v>
      </c>
      <c r="AJ56">
        <v>1194</v>
      </c>
      <c r="AL56">
        <v>861</v>
      </c>
      <c r="AN56">
        <v>1760</v>
      </c>
      <c r="AP56">
        <v>2724</v>
      </c>
      <c r="AQ56">
        <v>2522</v>
      </c>
      <c r="AR56">
        <v>1370</v>
      </c>
      <c r="AS56">
        <v>2138</v>
      </c>
      <c r="AT56">
        <v>1334</v>
      </c>
      <c r="AU56">
        <v>2303</v>
      </c>
      <c r="AV56">
        <v>1766</v>
      </c>
      <c r="AW56">
        <v>1836</v>
      </c>
      <c r="AX56">
        <v>1636</v>
      </c>
      <c r="AY56">
        <v>2307</v>
      </c>
      <c r="AZ56">
        <v>1980</v>
      </c>
      <c r="BA56">
        <v>3685</v>
      </c>
      <c r="BB56">
        <v>2479</v>
      </c>
      <c r="BC56">
        <v>1341</v>
      </c>
      <c r="BD56">
        <v>2195</v>
      </c>
      <c r="BE56">
        <v>5343</v>
      </c>
      <c r="BF56">
        <v>3007</v>
      </c>
      <c r="BG56">
        <v>5822</v>
      </c>
      <c r="BH56">
        <v>5423</v>
      </c>
      <c r="BI56">
        <v>5287</v>
      </c>
      <c r="BJ56">
        <v>4225</v>
      </c>
      <c r="BK56">
        <v>8711</v>
      </c>
      <c r="BL56">
        <v>7562</v>
      </c>
      <c r="BM56">
        <v>7066</v>
      </c>
      <c r="BN56">
        <v>4041</v>
      </c>
      <c r="BO56">
        <v>8649</v>
      </c>
      <c r="BP56">
        <v>3992</v>
      </c>
      <c r="BQ56">
        <v>5151</v>
      </c>
      <c r="BR56">
        <v>4413</v>
      </c>
    </row>
    <row r="57" spans="1:73" x14ac:dyDescent="0.3">
      <c r="A57" t="s">
        <v>234</v>
      </c>
      <c r="B57">
        <v>3558</v>
      </c>
      <c r="C57">
        <v>3437</v>
      </c>
      <c r="D57">
        <v>4596</v>
      </c>
      <c r="E57">
        <v>3730</v>
      </c>
      <c r="F57">
        <v>5676</v>
      </c>
      <c r="H57">
        <v>7110</v>
      </c>
      <c r="J57">
        <v>6151</v>
      </c>
      <c r="L57">
        <v>6333</v>
      </c>
      <c r="N57">
        <v>6150</v>
      </c>
      <c r="P57">
        <v>5692</v>
      </c>
      <c r="R57">
        <v>5314</v>
      </c>
      <c r="T57">
        <v>5464</v>
      </c>
      <c r="V57">
        <v>7610</v>
      </c>
      <c r="X57">
        <v>7103</v>
      </c>
      <c r="Z57">
        <v>7188</v>
      </c>
      <c r="AB57">
        <v>7566</v>
      </c>
      <c r="AD57">
        <v>7260</v>
      </c>
      <c r="AF57">
        <v>7883</v>
      </c>
      <c r="AH57">
        <v>6626</v>
      </c>
      <c r="AJ57">
        <v>6634</v>
      </c>
      <c r="AL57">
        <v>6923</v>
      </c>
      <c r="AN57">
        <v>9655</v>
      </c>
      <c r="AP57">
        <v>12161</v>
      </c>
      <c r="AQ57">
        <v>10891</v>
      </c>
      <c r="AR57">
        <v>11082</v>
      </c>
      <c r="AS57">
        <v>10794</v>
      </c>
      <c r="AT57">
        <v>10250</v>
      </c>
      <c r="AU57">
        <v>11016</v>
      </c>
      <c r="AV57">
        <v>10276</v>
      </c>
      <c r="AW57">
        <v>11362</v>
      </c>
      <c r="AX57">
        <v>10719</v>
      </c>
      <c r="AY57">
        <v>12454</v>
      </c>
      <c r="AZ57">
        <v>11696</v>
      </c>
      <c r="BA57">
        <v>12714</v>
      </c>
      <c r="BB57">
        <v>12258</v>
      </c>
      <c r="BC57">
        <v>15472</v>
      </c>
      <c r="BD57">
        <v>17001</v>
      </c>
      <c r="BE57">
        <v>20231</v>
      </c>
      <c r="BF57">
        <v>19495</v>
      </c>
      <c r="BG57">
        <v>20907</v>
      </c>
      <c r="BH57">
        <v>49450</v>
      </c>
      <c r="BI57">
        <v>48512</v>
      </c>
      <c r="BJ57">
        <v>47509</v>
      </c>
      <c r="BK57">
        <v>50292</v>
      </c>
      <c r="BL57">
        <v>45366</v>
      </c>
      <c r="BM57">
        <v>50461</v>
      </c>
      <c r="BN57">
        <v>43968</v>
      </c>
      <c r="BO57">
        <v>45010</v>
      </c>
      <c r="BP57">
        <v>39658</v>
      </c>
      <c r="BQ57">
        <v>44875</v>
      </c>
      <c r="BR57">
        <v>43139</v>
      </c>
    </row>
    <row r="58" spans="1:73" x14ac:dyDescent="0.3">
      <c r="A58" t="s">
        <v>198</v>
      </c>
      <c r="B58">
        <v>1231</v>
      </c>
      <c r="C58">
        <v>1399</v>
      </c>
      <c r="D58">
        <v>1310</v>
      </c>
      <c r="E58">
        <v>970</v>
      </c>
      <c r="F58">
        <v>1853</v>
      </c>
      <c r="H58">
        <v>2020</v>
      </c>
      <c r="J58">
        <v>1667</v>
      </c>
      <c r="L58">
        <v>1461</v>
      </c>
      <c r="N58">
        <v>1968</v>
      </c>
      <c r="P58">
        <v>1501</v>
      </c>
      <c r="R58">
        <v>1772</v>
      </c>
      <c r="T58">
        <v>1191</v>
      </c>
      <c r="V58">
        <v>2283</v>
      </c>
      <c r="X58">
        <v>1574</v>
      </c>
      <c r="Z58">
        <v>1851</v>
      </c>
      <c r="AB58">
        <v>1860</v>
      </c>
      <c r="AD58">
        <v>1790</v>
      </c>
      <c r="AF58">
        <v>1926</v>
      </c>
      <c r="AH58">
        <v>1456</v>
      </c>
      <c r="AJ58">
        <v>1141</v>
      </c>
      <c r="AL58">
        <v>1258</v>
      </c>
      <c r="AN58">
        <v>2326</v>
      </c>
      <c r="AP58">
        <v>2309</v>
      </c>
      <c r="AQ58">
        <v>1304</v>
      </c>
      <c r="AR58">
        <v>2161</v>
      </c>
      <c r="AS58">
        <v>1497</v>
      </c>
      <c r="AT58">
        <v>2329</v>
      </c>
      <c r="AU58">
        <v>1717</v>
      </c>
      <c r="AV58">
        <v>2048</v>
      </c>
      <c r="AW58">
        <v>1749</v>
      </c>
      <c r="AX58">
        <v>1930</v>
      </c>
      <c r="AY58">
        <v>1726</v>
      </c>
      <c r="AZ58">
        <v>1948</v>
      </c>
      <c r="BA58">
        <v>1580</v>
      </c>
      <c r="BB58">
        <v>1628</v>
      </c>
      <c r="BC58">
        <v>1417</v>
      </c>
      <c r="BD58">
        <v>1794</v>
      </c>
      <c r="BE58">
        <v>1882</v>
      </c>
      <c r="BF58">
        <v>2047</v>
      </c>
      <c r="BG58">
        <v>2019</v>
      </c>
      <c r="BH58">
        <v>3131</v>
      </c>
      <c r="BI58">
        <v>2125</v>
      </c>
      <c r="BJ58">
        <v>2307</v>
      </c>
      <c r="BK58">
        <v>3308</v>
      </c>
      <c r="BL58">
        <v>1899</v>
      </c>
      <c r="BM58">
        <v>4784</v>
      </c>
      <c r="BN58">
        <v>1806</v>
      </c>
      <c r="BO58">
        <v>3014</v>
      </c>
      <c r="BP58">
        <v>1480</v>
      </c>
      <c r="BQ58">
        <v>3568</v>
      </c>
      <c r="BR58">
        <v>1711</v>
      </c>
    </row>
    <row r="59" spans="1:73" x14ac:dyDescent="0.3">
      <c r="A59" t="s">
        <v>137</v>
      </c>
      <c r="B59">
        <v>2327</v>
      </c>
      <c r="C59">
        <v>2038</v>
      </c>
      <c r="D59">
        <v>3286</v>
      </c>
      <c r="E59">
        <v>2760</v>
      </c>
      <c r="F59">
        <v>3823</v>
      </c>
      <c r="H59">
        <v>5090</v>
      </c>
      <c r="J59">
        <v>4484</v>
      </c>
      <c r="L59">
        <v>4872</v>
      </c>
      <c r="N59">
        <v>4182</v>
      </c>
      <c r="P59">
        <v>4191</v>
      </c>
      <c r="R59">
        <v>3542</v>
      </c>
      <c r="T59">
        <v>4273</v>
      </c>
      <c r="V59">
        <v>5327</v>
      </c>
      <c r="X59">
        <v>5529</v>
      </c>
      <c r="Z59">
        <v>5337</v>
      </c>
      <c r="AB59">
        <v>5706</v>
      </c>
      <c r="AD59">
        <v>5470</v>
      </c>
      <c r="AF59">
        <v>5957</v>
      </c>
      <c r="AH59">
        <v>5170</v>
      </c>
      <c r="AJ59">
        <v>5493</v>
      </c>
      <c r="AL59">
        <v>5665</v>
      </c>
      <c r="AN59">
        <v>7329</v>
      </c>
      <c r="AP59">
        <v>9852</v>
      </c>
      <c r="AQ59">
        <v>9587</v>
      </c>
      <c r="AR59">
        <v>8921</v>
      </c>
      <c r="AS59">
        <v>9297</v>
      </c>
      <c r="AT59">
        <v>7921</v>
      </c>
      <c r="AU59">
        <v>9299</v>
      </c>
      <c r="AV59">
        <v>8228</v>
      </c>
      <c r="AW59">
        <v>9613</v>
      </c>
      <c r="AX59">
        <v>8789</v>
      </c>
      <c r="AY59">
        <v>10728</v>
      </c>
      <c r="AZ59">
        <v>9748</v>
      </c>
      <c r="BA59">
        <v>11134</v>
      </c>
      <c r="BB59">
        <v>10630</v>
      </c>
      <c r="BC59">
        <v>14055</v>
      </c>
      <c r="BD59">
        <v>15207</v>
      </c>
      <c r="BE59">
        <v>18349</v>
      </c>
      <c r="BF59">
        <v>17448</v>
      </c>
      <c r="BG59">
        <v>18888</v>
      </c>
      <c r="BH59">
        <v>46319</v>
      </c>
      <c r="BI59">
        <v>46387</v>
      </c>
      <c r="BJ59">
        <v>45202</v>
      </c>
      <c r="BK59">
        <v>46984</v>
      </c>
      <c r="BL59">
        <v>43467</v>
      </c>
      <c r="BM59">
        <v>45677</v>
      </c>
      <c r="BN59">
        <v>42162</v>
      </c>
      <c r="BO59">
        <v>41996</v>
      </c>
      <c r="BP59">
        <v>38178</v>
      </c>
      <c r="BQ59">
        <v>41307</v>
      </c>
      <c r="BR59">
        <v>41428</v>
      </c>
      <c r="BS59">
        <v>36653.5</v>
      </c>
      <c r="BT59">
        <v>34138.9</v>
      </c>
      <c r="BU59">
        <v>31718.2</v>
      </c>
    </row>
    <row r="60" spans="1:73" x14ac:dyDescent="0.3">
      <c r="A60" t="s">
        <v>235</v>
      </c>
    </row>
    <row r="61" spans="1:73" x14ac:dyDescent="0.3">
      <c r="A61" t="s">
        <v>138</v>
      </c>
      <c r="B61">
        <v>503</v>
      </c>
      <c r="C61">
        <v>701</v>
      </c>
      <c r="D61">
        <v>-97</v>
      </c>
      <c r="E61">
        <v>64</v>
      </c>
      <c r="F61">
        <v>4821</v>
      </c>
      <c r="H61">
        <v>5449</v>
      </c>
      <c r="J61">
        <v>5097</v>
      </c>
      <c r="L61">
        <v>5287</v>
      </c>
      <c r="N61">
        <v>4754</v>
      </c>
      <c r="P61">
        <v>5144</v>
      </c>
      <c r="R61">
        <v>5185</v>
      </c>
      <c r="S61">
        <v>-267</v>
      </c>
      <c r="T61">
        <v>5145</v>
      </c>
      <c r="U61">
        <v>-223</v>
      </c>
      <c r="V61">
        <v>4483</v>
      </c>
      <c r="W61">
        <v>-225</v>
      </c>
      <c r="X61">
        <v>4093</v>
      </c>
      <c r="Y61">
        <v>-222</v>
      </c>
      <c r="Z61">
        <v>5919</v>
      </c>
      <c r="AA61">
        <v>-198</v>
      </c>
      <c r="AB61">
        <v>5996</v>
      </c>
      <c r="AC61">
        <v>-225</v>
      </c>
      <c r="AD61">
        <v>6630</v>
      </c>
      <c r="AE61">
        <v>-247</v>
      </c>
      <c r="AF61">
        <v>6373</v>
      </c>
      <c r="AG61">
        <v>-233</v>
      </c>
      <c r="AH61">
        <v>6461</v>
      </c>
      <c r="AI61">
        <v>-227</v>
      </c>
      <c r="AJ61">
        <v>6440</v>
      </c>
      <c r="AK61">
        <v>-236</v>
      </c>
      <c r="AL61">
        <v>6871</v>
      </c>
      <c r="AM61">
        <v>-218</v>
      </c>
      <c r="AN61">
        <v>6617</v>
      </c>
      <c r="AO61">
        <v>-248</v>
      </c>
      <c r="AP61">
        <v>6944</v>
      </c>
      <c r="AQ61">
        <v>6682</v>
      </c>
      <c r="AR61">
        <v>7613</v>
      </c>
      <c r="AS61">
        <v>8366</v>
      </c>
      <c r="AT61">
        <v>9206</v>
      </c>
      <c r="AU61">
        <v>8705</v>
      </c>
      <c r="AV61">
        <v>8167</v>
      </c>
      <c r="AW61">
        <v>7224</v>
      </c>
      <c r="AX61">
        <v>7472</v>
      </c>
      <c r="AY61">
        <v>6958</v>
      </c>
      <c r="AZ61">
        <v>6634</v>
      </c>
      <c r="BA61">
        <v>5455</v>
      </c>
      <c r="BB61">
        <v>5510</v>
      </c>
      <c r="BC61">
        <v>5987</v>
      </c>
      <c r="BD61">
        <v>4894</v>
      </c>
      <c r="BE61">
        <v>6110</v>
      </c>
      <c r="BF61">
        <v>8182</v>
      </c>
      <c r="BG61">
        <v>7717</v>
      </c>
      <c r="BH61">
        <v>60759</v>
      </c>
      <c r="BI61">
        <v>62401</v>
      </c>
      <c r="BJ61">
        <v>65444</v>
      </c>
      <c r="BK61">
        <v>65282</v>
      </c>
      <c r="BL61">
        <v>63902</v>
      </c>
      <c r="BM61">
        <v>69143</v>
      </c>
      <c r="BN61">
        <v>62673</v>
      </c>
      <c r="BO61">
        <v>62897</v>
      </c>
      <c r="BP61">
        <v>67101</v>
      </c>
      <c r="BQ61">
        <v>73755</v>
      </c>
      <c r="BR61">
        <v>75368</v>
      </c>
      <c r="BS61">
        <v>78196.7</v>
      </c>
      <c r="BT61">
        <v>80721.399999999994</v>
      </c>
      <c r="BU61">
        <v>83058.3</v>
      </c>
    </row>
    <row r="62" spans="1:73" x14ac:dyDescent="0.3">
      <c r="A62" t="s">
        <v>236</v>
      </c>
      <c r="B62">
        <v>503</v>
      </c>
      <c r="C62">
        <v>701</v>
      </c>
      <c r="D62">
        <v>-97</v>
      </c>
      <c r="E62">
        <v>64</v>
      </c>
      <c r="F62">
        <v>-517</v>
      </c>
      <c r="H62">
        <v>-2017</v>
      </c>
      <c r="J62">
        <v>-2061</v>
      </c>
      <c r="L62">
        <v>-2045</v>
      </c>
      <c r="N62">
        <v>-1792</v>
      </c>
      <c r="P62">
        <v>-1403</v>
      </c>
      <c r="R62">
        <v>-1063</v>
      </c>
      <c r="S62">
        <v>-267</v>
      </c>
      <c r="T62">
        <v>-1465</v>
      </c>
      <c r="U62">
        <v>-223</v>
      </c>
      <c r="V62">
        <v>-3529</v>
      </c>
      <c r="W62">
        <v>-225</v>
      </c>
      <c r="X62">
        <v>-3800</v>
      </c>
      <c r="Y62">
        <v>-222</v>
      </c>
      <c r="Z62">
        <v>-1781</v>
      </c>
      <c r="AA62">
        <v>-198</v>
      </c>
      <c r="AB62">
        <v>-1616</v>
      </c>
      <c r="AC62">
        <v>-225</v>
      </c>
      <c r="AD62">
        <v>-1357</v>
      </c>
      <c r="AE62">
        <v>-247</v>
      </c>
      <c r="AF62">
        <v>-1331</v>
      </c>
      <c r="AG62">
        <v>-233</v>
      </c>
      <c r="AH62">
        <v>-1015</v>
      </c>
      <c r="AI62">
        <v>-227</v>
      </c>
      <c r="AJ62">
        <v>-1121</v>
      </c>
      <c r="AK62">
        <v>-236</v>
      </c>
      <c r="AL62">
        <v>-1234</v>
      </c>
      <c r="AM62">
        <v>-218</v>
      </c>
      <c r="AN62">
        <v>-2255</v>
      </c>
      <c r="AO62">
        <v>-248</v>
      </c>
      <c r="AP62">
        <v>-5374</v>
      </c>
      <c r="AQ62">
        <v>-4755</v>
      </c>
      <c r="AR62">
        <v>-4619</v>
      </c>
      <c r="AS62">
        <v>-3843</v>
      </c>
      <c r="AT62">
        <v>-3252</v>
      </c>
      <c r="AU62">
        <v>-3968</v>
      </c>
      <c r="AV62">
        <v>-3825</v>
      </c>
      <c r="AW62">
        <v>-4571</v>
      </c>
      <c r="AX62">
        <v>-4238</v>
      </c>
      <c r="AY62">
        <v>-4966</v>
      </c>
      <c r="AZ62">
        <v>-4571</v>
      </c>
      <c r="BA62">
        <v>-5477</v>
      </c>
      <c r="BB62">
        <v>-5294</v>
      </c>
      <c r="BC62">
        <v>-4141</v>
      </c>
      <c r="BD62">
        <v>-5542</v>
      </c>
      <c r="BE62">
        <v>-5670</v>
      </c>
      <c r="BF62">
        <v>-3935</v>
      </c>
      <c r="BG62">
        <v>-4460</v>
      </c>
      <c r="BH62">
        <v>-57026</v>
      </c>
      <c r="BI62">
        <v>-57605</v>
      </c>
      <c r="BJ62">
        <v>-58569</v>
      </c>
      <c r="BK62">
        <v>-58805</v>
      </c>
      <c r="BL62">
        <v>-54885</v>
      </c>
      <c r="BM62">
        <v>-57621</v>
      </c>
      <c r="BN62">
        <v>-52670</v>
      </c>
      <c r="BO62">
        <v>-50930</v>
      </c>
      <c r="BP62">
        <v>-48524</v>
      </c>
      <c r="BQ62">
        <v>-54271</v>
      </c>
      <c r="BR62">
        <v>-53707</v>
      </c>
    </row>
    <row r="63" spans="1:73" x14ac:dyDescent="0.3">
      <c r="A63" t="s">
        <v>237</v>
      </c>
      <c r="B63">
        <v>9</v>
      </c>
      <c r="C63">
        <v>24.1</v>
      </c>
      <c r="D63">
        <v>-28.3</v>
      </c>
      <c r="E63">
        <v>-16.5</v>
      </c>
      <c r="F63">
        <v>200.6</v>
      </c>
      <c r="H63">
        <v>228.8</v>
      </c>
      <c r="J63">
        <v>214.8</v>
      </c>
      <c r="L63">
        <v>225.1</v>
      </c>
      <c r="N63">
        <v>203</v>
      </c>
      <c r="P63">
        <v>223</v>
      </c>
      <c r="R63">
        <v>225.4</v>
      </c>
      <c r="S63">
        <v>-24.7</v>
      </c>
      <c r="T63">
        <v>230.8</v>
      </c>
      <c r="U63">
        <v>-21.2</v>
      </c>
      <c r="V63">
        <v>205</v>
      </c>
      <c r="W63">
        <v>-21.8</v>
      </c>
      <c r="X63">
        <v>178.8</v>
      </c>
      <c r="Y63">
        <v>-20.6</v>
      </c>
      <c r="Z63">
        <v>267.39999999999998</v>
      </c>
      <c r="AA63">
        <v>-18.600000000000001</v>
      </c>
      <c r="AB63">
        <v>273.2</v>
      </c>
      <c r="AC63">
        <v>-21.4</v>
      </c>
      <c r="AD63">
        <v>304.10000000000002</v>
      </c>
      <c r="AE63">
        <v>-27.6</v>
      </c>
      <c r="AF63">
        <v>355.5</v>
      </c>
      <c r="AG63">
        <v>-22.5</v>
      </c>
      <c r="AH63">
        <v>302.3</v>
      </c>
      <c r="AI63">
        <v>-22.1</v>
      </c>
      <c r="AJ63">
        <v>304</v>
      </c>
      <c r="AK63">
        <v>-23.3</v>
      </c>
      <c r="AL63">
        <v>329.7</v>
      </c>
      <c r="AM63">
        <v>-21.6</v>
      </c>
      <c r="AN63">
        <v>317.3</v>
      </c>
      <c r="AO63">
        <v>-24.8</v>
      </c>
      <c r="AP63">
        <v>334.3</v>
      </c>
      <c r="AQ63">
        <v>319.10000000000002</v>
      </c>
      <c r="AR63">
        <v>366.4</v>
      </c>
      <c r="AS63">
        <v>402.1</v>
      </c>
      <c r="AT63">
        <v>443.9</v>
      </c>
      <c r="AU63">
        <v>421.8</v>
      </c>
      <c r="AV63">
        <v>399.2</v>
      </c>
      <c r="AW63">
        <v>354.6</v>
      </c>
      <c r="AX63">
        <v>371.1</v>
      </c>
      <c r="AY63">
        <v>347.7</v>
      </c>
      <c r="AZ63">
        <v>335.6</v>
      </c>
      <c r="BA63">
        <v>276.10000000000002</v>
      </c>
      <c r="BB63">
        <v>279.3</v>
      </c>
      <c r="BC63">
        <v>307.2</v>
      </c>
      <c r="BD63">
        <v>255.1</v>
      </c>
      <c r="BE63">
        <v>320.10000000000002</v>
      </c>
      <c r="BF63">
        <v>426.8</v>
      </c>
      <c r="BG63">
        <v>403.6</v>
      </c>
      <c r="BH63">
        <v>2639.3</v>
      </c>
      <c r="BI63">
        <v>2711</v>
      </c>
      <c r="BJ63">
        <v>2842.5</v>
      </c>
      <c r="BK63">
        <v>2834.9</v>
      </c>
      <c r="BL63">
        <v>2774.5</v>
      </c>
      <c r="BM63">
        <v>3001.5</v>
      </c>
      <c r="BN63">
        <v>2719.5</v>
      </c>
      <c r="BO63">
        <v>2729</v>
      </c>
      <c r="BP63">
        <v>2911.1</v>
      </c>
      <c r="BQ63">
        <v>3252.5</v>
      </c>
      <c r="BR63">
        <v>3355.6</v>
      </c>
    </row>
    <row r="64" spans="1:73" x14ac:dyDescent="0.3">
      <c r="A64" t="s">
        <v>238</v>
      </c>
      <c r="B64">
        <v>9</v>
      </c>
      <c r="C64">
        <v>24.1</v>
      </c>
      <c r="D64">
        <v>-28.3</v>
      </c>
      <c r="E64">
        <v>-16.5</v>
      </c>
      <c r="F64">
        <v>-44.7</v>
      </c>
      <c r="H64">
        <v>-114</v>
      </c>
      <c r="J64">
        <v>-113.9</v>
      </c>
      <c r="L64">
        <v>-111.4</v>
      </c>
      <c r="N64">
        <v>-97.3</v>
      </c>
      <c r="P64">
        <v>-77.2</v>
      </c>
      <c r="R64">
        <v>-61</v>
      </c>
      <c r="S64">
        <v>-24.7</v>
      </c>
      <c r="T64">
        <v>-79.2</v>
      </c>
      <c r="U64">
        <v>-21.2</v>
      </c>
      <c r="V64">
        <v>-180.8</v>
      </c>
      <c r="W64">
        <v>-21.8</v>
      </c>
      <c r="X64">
        <v>-185.8</v>
      </c>
      <c r="Y64">
        <v>-20.6</v>
      </c>
      <c r="Z64">
        <v>-92.5</v>
      </c>
      <c r="AA64">
        <v>-18.600000000000001</v>
      </c>
      <c r="AB64">
        <v>-87.2</v>
      </c>
      <c r="AC64">
        <v>-21.4</v>
      </c>
      <c r="AD64">
        <v>-76.400000000000006</v>
      </c>
      <c r="AE64">
        <v>-27.6</v>
      </c>
      <c r="AF64">
        <v>-90.5</v>
      </c>
      <c r="AG64">
        <v>-22.5</v>
      </c>
      <c r="AH64">
        <v>-60.2</v>
      </c>
      <c r="AI64">
        <v>-22.1</v>
      </c>
      <c r="AJ64">
        <v>-66.5</v>
      </c>
      <c r="AK64">
        <v>-23.3</v>
      </c>
      <c r="AL64">
        <v>-72</v>
      </c>
      <c r="AM64">
        <v>-21.6</v>
      </c>
      <c r="AN64">
        <v>-124.7</v>
      </c>
      <c r="AO64">
        <v>-24.8</v>
      </c>
      <c r="AP64">
        <v>-282.8</v>
      </c>
      <c r="AQ64">
        <v>-253.8</v>
      </c>
      <c r="AR64">
        <v>-246.3</v>
      </c>
      <c r="AS64">
        <v>-209.4</v>
      </c>
      <c r="AT64">
        <v>-180</v>
      </c>
      <c r="AU64">
        <v>-217</v>
      </c>
      <c r="AV64">
        <v>-209.9</v>
      </c>
      <c r="AW64">
        <v>-249.7</v>
      </c>
      <c r="AX64">
        <v>-235.4</v>
      </c>
      <c r="AY64">
        <v>-275.8</v>
      </c>
      <c r="AZ64">
        <v>-258.2</v>
      </c>
      <c r="BA64">
        <v>-308.89999999999998</v>
      </c>
      <c r="BB64">
        <v>-300.3</v>
      </c>
      <c r="BC64">
        <v>-236.1</v>
      </c>
      <c r="BD64">
        <v>-304.7</v>
      </c>
      <c r="BE64">
        <v>-311.7</v>
      </c>
      <c r="BF64">
        <v>-223.1</v>
      </c>
      <c r="BG64">
        <v>-249.5</v>
      </c>
      <c r="BH64">
        <v>-2496</v>
      </c>
      <c r="BI64">
        <v>-2520.9</v>
      </c>
      <c r="BJ64">
        <v>-2564</v>
      </c>
      <c r="BK64">
        <v>-2574.6999999999998</v>
      </c>
      <c r="BL64">
        <v>-2403.9</v>
      </c>
      <c r="BM64">
        <v>-2523.9</v>
      </c>
      <c r="BN64">
        <v>-2308</v>
      </c>
      <c r="BO64">
        <v>-2231.6</v>
      </c>
      <c r="BP64">
        <v>-2127.6999999999998</v>
      </c>
      <c r="BQ64">
        <v>-2417.4</v>
      </c>
      <c r="BR64">
        <v>-2417.4</v>
      </c>
    </row>
    <row r="65" spans="1:70" x14ac:dyDescent="0.3">
      <c r="A65" t="s">
        <v>239</v>
      </c>
      <c r="B65">
        <v>364</v>
      </c>
      <c r="C65">
        <v>327</v>
      </c>
      <c r="D65">
        <v>342</v>
      </c>
      <c r="E65">
        <v>323</v>
      </c>
      <c r="F65">
        <v>455</v>
      </c>
      <c r="H65">
        <v>466</v>
      </c>
      <c r="J65">
        <v>419</v>
      </c>
      <c r="L65">
        <v>382</v>
      </c>
      <c r="N65">
        <v>329</v>
      </c>
      <c r="P65">
        <v>280</v>
      </c>
      <c r="R65">
        <v>267</v>
      </c>
      <c r="S65">
        <v>267</v>
      </c>
      <c r="T65">
        <v>223</v>
      </c>
      <c r="U65">
        <v>223</v>
      </c>
      <c r="V65">
        <v>225</v>
      </c>
      <c r="W65">
        <v>225</v>
      </c>
      <c r="X65">
        <v>222</v>
      </c>
      <c r="Y65">
        <v>222</v>
      </c>
      <c r="Z65">
        <v>198</v>
      </c>
      <c r="AA65">
        <v>198</v>
      </c>
      <c r="AB65">
        <v>225</v>
      </c>
      <c r="AC65">
        <v>225</v>
      </c>
      <c r="AD65">
        <v>247</v>
      </c>
      <c r="AE65">
        <v>247</v>
      </c>
      <c r="AF65">
        <v>233</v>
      </c>
      <c r="AG65">
        <v>233</v>
      </c>
      <c r="AH65">
        <v>227</v>
      </c>
      <c r="AI65">
        <v>227</v>
      </c>
      <c r="AJ65">
        <v>236</v>
      </c>
      <c r="AK65">
        <v>236</v>
      </c>
      <c r="AL65">
        <v>218</v>
      </c>
      <c r="AM65">
        <v>218</v>
      </c>
      <c r="AN65">
        <v>248</v>
      </c>
      <c r="AO65">
        <v>248</v>
      </c>
      <c r="AP65">
        <v>271</v>
      </c>
      <c r="AQ65">
        <v>311</v>
      </c>
      <c r="AR65">
        <v>299</v>
      </c>
      <c r="AS65">
        <v>338</v>
      </c>
      <c r="AT65">
        <v>342</v>
      </c>
      <c r="AU65">
        <v>337</v>
      </c>
      <c r="AV65">
        <v>307</v>
      </c>
      <c r="AW65">
        <v>303</v>
      </c>
      <c r="AX65">
        <v>307</v>
      </c>
      <c r="AY65">
        <v>308</v>
      </c>
      <c r="AZ65">
        <v>301</v>
      </c>
      <c r="BA65">
        <v>296</v>
      </c>
      <c r="BB65">
        <v>304</v>
      </c>
      <c r="BC65">
        <v>261</v>
      </c>
      <c r="BD65">
        <v>138</v>
      </c>
      <c r="BE65">
        <v>142</v>
      </c>
      <c r="BF65">
        <v>224</v>
      </c>
      <c r="BG65">
        <v>192</v>
      </c>
      <c r="BH65">
        <v>222</v>
      </c>
      <c r="BI65">
        <v>218</v>
      </c>
      <c r="BJ65">
        <v>244</v>
      </c>
      <c r="BK65">
        <v>254</v>
      </c>
      <c r="BL65">
        <v>258</v>
      </c>
      <c r="BM65">
        <v>282</v>
      </c>
      <c r="BN65">
        <v>282</v>
      </c>
      <c r="BO65">
        <v>277</v>
      </c>
      <c r="BP65">
        <v>300</v>
      </c>
      <c r="BQ65">
        <v>314</v>
      </c>
      <c r="BR65">
        <v>342</v>
      </c>
    </row>
    <row r="66" spans="1:70" x14ac:dyDescent="0.3">
      <c r="A66" t="s">
        <v>240</v>
      </c>
      <c r="B66">
        <v>1781</v>
      </c>
      <c r="C66">
        <v>1837</v>
      </c>
      <c r="D66">
        <v>-429</v>
      </c>
      <c r="E66">
        <v>783</v>
      </c>
      <c r="F66">
        <v>2694</v>
      </c>
      <c r="H66">
        <v>-3166</v>
      </c>
      <c r="J66">
        <v>1749</v>
      </c>
      <c r="L66">
        <v>-3726</v>
      </c>
      <c r="N66">
        <v>1387</v>
      </c>
      <c r="P66">
        <v>-3229</v>
      </c>
      <c r="R66">
        <v>1900</v>
      </c>
      <c r="T66">
        <v>-3056</v>
      </c>
      <c r="V66">
        <v>1090</v>
      </c>
      <c r="X66">
        <v>884</v>
      </c>
      <c r="Z66">
        <v>1240</v>
      </c>
      <c r="AB66">
        <v>730</v>
      </c>
      <c r="AD66">
        <v>68</v>
      </c>
      <c r="AF66">
        <v>1086</v>
      </c>
      <c r="AH66">
        <v>938</v>
      </c>
      <c r="AJ66">
        <v>686</v>
      </c>
      <c r="AL66">
        <v>812</v>
      </c>
      <c r="AN66">
        <v>1692</v>
      </c>
      <c r="AP66">
        <v>-139</v>
      </c>
      <c r="AQ66">
        <v>-156</v>
      </c>
      <c r="AR66">
        <v>1190</v>
      </c>
      <c r="AS66">
        <v>400</v>
      </c>
      <c r="AT66">
        <v>1012</v>
      </c>
      <c r="AU66">
        <v>64</v>
      </c>
      <c r="AV66">
        <v>648</v>
      </c>
      <c r="AW66">
        <v>1173</v>
      </c>
      <c r="AX66">
        <v>1044</v>
      </c>
      <c r="AY66">
        <v>955</v>
      </c>
      <c r="AZ66">
        <v>1082</v>
      </c>
      <c r="BA66">
        <v>-550</v>
      </c>
      <c r="BB66">
        <v>363</v>
      </c>
      <c r="BC66">
        <v>1586</v>
      </c>
      <c r="BD66">
        <v>808</v>
      </c>
      <c r="BE66">
        <v>-1098</v>
      </c>
      <c r="BF66">
        <v>503</v>
      </c>
      <c r="BG66">
        <v>-1722</v>
      </c>
      <c r="BH66">
        <v>-1639</v>
      </c>
      <c r="BI66">
        <v>-3113</v>
      </c>
      <c r="BJ66">
        <v>-3674</v>
      </c>
      <c r="BK66">
        <v>-5377</v>
      </c>
      <c r="BL66">
        <v>-5549</v>
      </c>
      <c r="BM66">
        <v>-1966</v>
      </c>
      <c r="BN66">
        <v>-1866</v>
      </c>
      <c r="BO66">
        <v>-4067</v>
      </c>
      <c r="BP66">
        <v>-2337</v>
      </c>
      <c r="BQ66">
        <v>-2017</v>
      </c>
      <c r="BR66">
        <v>-2444</v>
      </c>
    </row>
    <row r="67" spans="1:70" x14ac:dyDescent="0.3">
      <c r="A67" t="s">
        <v>241</v>
      </c>
      <c r="Z67">
        <v>532</v>
      </c>
      <c r="AB67">
        <v>516</v>
      </c>
      <c r="AD67">
        <v>508</v>
      </c>
      <c r="AF67">
        <v>445</v>
      </c>
      <c r="AH67">
        <v>406</v>
      </c>
      <c r="AJ67">
        <v>358</v>
      </c>
      <c r="AL67">
        <v>323</v>
      </c>
      <c r="AN67">
        <v>256</v>
      </c>
      <c r="AP67">
        <v>773</v>
      </c>
      <c r="AQ67">
        <v>821</v>
      </c>
      <c r="AR67">
        <v>1024</v>
      </c>
      <c r="AS67">
        <v>781</v>
      </c>
      <c r="AT67">
        <v>648</v>
      </c>
      <c r="AU67">
        <v>673</v>
      </c>
      <c r="AV67">
        <v>898</v>
      </c>
      <c r="AW67">
        <v>1034</v>
      </c>
      <c r="AX67">
        <v>1047</v>
      </c>
      <c r="AY67">
        <v>797</v>
      </c>
      <c r="AZ67">
        <v>497</v>
      </c>
      <c r="BA67">
        <v>528</v>
      </c>
      <c r="BB67">
        <v>741</v>
      </c>
      <c r="BC67">
        <v>483</v>
      </c>
      <c r="BD67">
        <v>245</v>
      </c>
      <c r="BE67">
        <v>652</v>
      </c>
      <c r="BF67">
        <v>371</v>
      </c>
      <c r="BG67">
        <v>212</v>
      </c>
      <c r="BH67">
        <v>698</v>
      </c>
      <c r="BI67">
        <v>289</v>
      </c>
      <c r="BJ67">
        <v>518</v>
      </c>
      <c r="BK67">
        <v>1339</v>
      </c>
      <c r="BL67">
        <v>1029</v>
      </c>
      <c r="BM67">
        <v>997</v>
      </c>
      <c r="BN67">
        <v>810</v>
      </c>
      <c r="BO67">
        <v>476</v>
      </c>
      <c r="BP67">
        <v>321</v>
      </c>
      <c r="BQ67">
        <v>-111</v>
      </c>
      <c r="BR67">
        <v>-51</v>
      </c>
    </row>
  </sheetData>
  <sheetProtection algorithmName="SHA-512" hashValue="cXC8KXsKZZWAElkCND3Gj191SNb7k6E1ZZKKZfaPTlC/pAHw521QUYzWsiWAOFPUD2ivgoWPGdwoweBj5Jr4yQ==" saltValue="W++9tHqnhI1l/FezMa1owg==" spinCount="100000" sheet="1" selectLockedCells="1" selectUn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D8CA1-1204-42E4-A52F-E4EB2BD409DA}">
  <sheetPr>
    <tabColor theme="6" tint="0.59999389629810485"/>
  </sheetPr>
  <dimension ref="A2:BU73"/>
  <sheetViews>
    <sheetView workbookViewId="0">
      <pane xSplit="1" ySplit="4" topLeftCell="BP17" activePane="bottomRight" state="frozen"/>
      <selection pane="topRight" activeCell="B1" sqref="B1"/>
      <selection pane="bottomLeft" activeCell="A5" sqref="A5"/>
      <selection pane="bottomRight" activeCell="BR22" sqref="BR22"/>
    </sheetView>
  </sheetViews>
  <sheetFormatPr defaultRowHeight="14.4" x14ac:dyDescent="0.3"/>
  <cols>
    <col min="1" max="1" width="27.88671875" bestFit="1" customWidth="1"/>
    <col min="2" max="73" width="11.109375" bestFit="1" customWidth="1"/>
  </cols>
  <sheetData>
    <row r="2" spans="1:73" x14ac:dyDescent="0.3">
      <c r="A2" t="s">
        <v>133</v>
      </c>
      <c r="B2">
        <v>1995</v>
      </c>
      <c r="C2">
        <v>1996</v>
      </c>
      <c r="D2">
        <v>1997</v>
      </c>
      <c r="E2">
        <v>1998</v>
      </c>
      <c r="F2">
        <v>1999</v>
      </c>
      <c r="G2">
        <v>2000</v>
      </c>
      <c r="H2">
        <v>2000</v>
      </c>
      <c r="I2">
        <v>2000</v>
      </c>
      <c r="J2">
        <v>2000</v>
      </c>
      <c r="K2">
        <v>2001</v>
      </c>
      <c r="L2">
        <v>2001</v>
      </c>
      <c r="M2">
        <v>2001</v>
      </c>
      <c r="N2">
        <v>2001</v>
      </c>
      <c r="O2">
        <v>2002</v>
      </c>
      <c r="P2">
        <v>2002</v>
      </c>
      <c r="Q2">
        <v>2002</v>
      </c>
      <c r="R2">
        <v>2002</v>
      </c>
      <c r="S2">
        <v>2003</v>
      </c>
      <c r="T2">
        <v>2003</v>
      </c>
      <c r="U2">
        <v>2003</v>
      </c>
      <c r="V2">
        <v>2003</v>
      </c>
      <c r="W2">
        <v>2004</v>
      </c>
      <c r="X2">
        <v>2004</v>
      </c>
      <c r="Y2">
        <v>2004</v>
      </c>
      <c r="Z2">
        <v>2004</v>
      </c>
      <c r="AA2">
        <v>2005</v>
      </c>
      <c r="AB2">
        <v>2005</v>
      </c>
      <c r="AC2">
        <v>2005</v>
      </c>
      <c r="AD2">
        <v>2005</v>
      </c>
      <c r="AE2">
        <v>2006</v>
      </c>
      <c r="AF2">
        <v>2006</v>
      </c>
      <c r="AG2">
        <v>2006</v>
      </c>
      <c r="AH2">
        <v>2006</v>
      </c>
      <c r="AI2">
        <v>2007</v>
      </c>
      <c r="AJ2">
        <v>2007</v>
      </c>
      <c r="AK2">
        <v>2007</v>
      </c>
      <c r="AL2">
        <v>2007</v>
      </c>
      <c r="AM2">
        <v>2008</v>
      </c>
      <c r="AN2">
        <v>2008</v>
      </c>
      <c r="AO2">
        <v>2008</v>
      </c>
      <c r="AP2">
        <v>2008</v>
      </c>
      <c r="AQ2">
        <v>2009</v>
      </c>
      <c r="AR2">
        <v>2009</v>
      </c>
      <c r="AS2">
        <v>2010</v>
      </c>
      <c r="AT2">
        <v>2010</v>
      </c>
      <c r="AU2">
        <v>2011</v>
      </c>
      <c r="AV2">
        <v>2011</v>
      </c>
      <c r="AW2">
        <v>2012</v>
      </c>
      <c r="AX2">
        <v>2012</v>
      </c>
      <c r="AY2">
        <v>2013</v>
      </c>
      <c r="AZ2">
        <v>2013</v>
      </c>
      <c r="BA2">
        <v>2014</v>
      </c>
      <c r="BB2">
        <v>2014</v>
      </c>
      <c r="BC2">
        <v>2015</v>
      </c>
      <c r="BD2">
        <v>2015</v>
      </c>
      <c r="BE2">
        <v>2016</v>
      </c>
      <c r="BF2">
        <v>2016</v>
      </c>
      <c r="BG2">
        <v>2017</v>
      </c>
      <c r="BH2">
        <v>2017</v>
      </c>
      <c r="BI2">
        <v>2018</v>
      </c>
      <c r="BJ2">
        <v>2018</v>
      </c>
      <c r="BK2">
        <v>2019</v>
      </c>
      <c r="BL2">
        <v>2019</v>
      </c>
      <c r="BM2">
        <v>2020</v>
      </c>
      <c r="BN2">
        <v>2020</v>
      </c>
      <c r="BO2">
        <v>2021</v>
      </c>
      <c r="BP2">
        <v>2021</v>
      </c>
      <c r="BQ2">
        <v>2022</v>
      </c>
      <c r="BR2">
        <v>2022</v>
      </c>
      <c r="BS2">
        <v>2023</v>
      </c>
      <c r="BT2">
        <v>2024</v>
      </c>
      <c r="BU2">
        <v>2025</v>
      </c>
    </row>
    <row r="3" spans="1:73" x14ac:dyDescent="0.3">
      <c r="A3" t="s">
        <v>139</v>
      </c>
      <c r="B3" s="66">
        <v>35064</v>
      </c>
      <c r="C3" s="66">
        <v>35430</v>
      </c>
      <c r="D3" s="66">
        <v>35795</v>
      </c>
      <c r="E3" s="66">
        <v>36160</v>
      </c>
      <c r="F3" s="66">
        <v>36525</v>
      </c>
      <c r="G3" s="66">
        <v>36616</v>
      </c>
      <c r="H3" s="66">
        <v>36707</v>
      </c>
      <c r="I3" s="66">
        <v>36799</v>
      </c>
      <c r="J3" s="66">
        <v>36891</v>
      </c>
      <c r="K3" s="66">
        <v>36981</v>
      </c>
      <c r="L3" s="66">
        <v>37072</v>
      </c>
      <c r="M3" s="66">
        <v>37164</v>
      </c>
      <c r="N3" s="66">
        <v>37256</v>
      </c>
      <c r="O3" s="66">
        <v>37346</v>
      </c>
      <c r="P3" s="66">
        <v>37437</v>
      </c>
      <c r="Q3" s="66">
        <v>37529</v>
      </c>
      <c r="R3" s="66">
        <v>37621</v>
      </c>
      <c r="S3" s="66">
        <v>37711</v>
      </c>
      <c r="T3" s="66">
        <v>37802</v>
      </c>
      <c r="U3" s="66">
        <v>37894</v>
      </c>
      <c r="V3" s="66">
        <v>37986</v>
      </c>
      <c r="W3" s="66">
        <v>38077</v>
      </c>
      <c r="X3" s="66">
        <v>38168</v>
      </c>
      <c r="Y3" s="66">
        <v>38260</v>
      </c>
      <c r="Z3" s="66">
        <v>38352</v>
      </c>
      <c r="AA3" s="66">
        <v>38442</v>
      </c>
      <c r="AB3" s="66">
        <v>38533</v>
      </c>
      <c r="AC3" s="66">
        <v>38625</v>
      </c>
      <c r="AD3" s="66">
        <v>38717</v>
      </c>
      <c r="AE3" s="66">
        <v>38807</v>
      </c>
      <c r="AF3" s="66">
        <v>38898</v>
      </c>
      <c r="AG3" s="66">
        <v>38990</v>
      </c>
      <c r="AH3" s="66">
        <v>39082</v>
      </c>
      <c r="AI3" s="66">
        <v>39172</v>
      </c>
      <c r="AJ3" s="66">
        <v>39263</v>
      </c>
      <c r="AK3" s="66">
        <v>39355</v>
      </c>
      <c r="AL3" s="66">
        <v>39447</v>
      </c>
      <c r="AM3" s="66">
        <v>39538</v>
      </c>
      <c r="AN3" s="66">
        <v>39629</v>
      </c>
      <c r="AO3" s="66">
        <v>39721</v>
      </c>
      <c r="AP3" s="66">
        <v>39813</v>
      </c>
      <c r="AQ3" s="66">
        <v>39994</v>
      </c>
      <c r="AR3" s="66">
        <v>40178</v>
      </c>
      <c r="AS3" s="66">
        <v>40359</v>
      </c>
      <c r="AT3" s="66">
        <v>40543</v>
      </c>
      <c r="AU3" s="66">
        <v>40724</v>
      </c>
      <c r="AV3" s="66">
        <v>40908</v>
      </c>
      <c r="AW3" s="66">
        <v>41090</v>
      </c>
      <c r="AX3" s="66">
        <v>41274</v>
      </c>
      <c r="AY3" s="66">
        <v>41455</v>
      </c>
      <c r="AZ3" s="66">
        <v>41639</v>
      </c>
      <c r="BA3" s="66">
        <v>41820</v>
      </c>
      <c r="BB3" s="66">
        <v>42004</v>
      </c>
      <c r="BC3" s="66">
        <v>42185</v>
      </c>
      <c r="BD3" s="66">
        <v>42369</v>
      </c>
      <c r="BE3" s="66">
        <v>42551</v>
      </c>
      <c r="BF3" s="66">
        <v>42735</v>
      </c>
      <c r="BG3" s="66">
        <v>42916</v>
      </c>
      <c r="BH3" s="66">
        <v>43100</v>
      </c>
      <c r="BI3" s="66">
        <v>43281</v>
      </c>
      <c r="BJ3" s="66">
        <v>43465</v>
      </c>
      <c r="BK3" s="66">
        <v>43646</v>
      </c>
      <c r="BL3" s="66">
        <v>43830</v>
      </c>
      <c r="BM3" s="66">
        <v>44012</v>
      </c>
      <c r="BN3" s="66">
        <v>44196</v>
      </c>
      <c r="BO3" s="66">
        <v>44377</v>
      </c>
      <c r="BP3" s="66">
        <v>44561</v>
      </c>
      <c r="BQ3" s="66">
        <v>44742</v>
      </c>
      <c r="BR3" s="66">
        <v>44926</v>
      </c>
      <c r="BS3" s="66">
        <v>45291</v>
      </c>
      <c r="BT3" s="66">
        <v>45657</v>
      </c>
      <c r="BU3" s="66">
        <v>46022</v>
      </c>
    </row>
    <row r="4" spans="1:73" x14ac:dyDescent="0.3">
      <c r="A4" t="s">
        <v>140</v>
      </c>
      <c r="B4" t="s">
        <v>279</v>
      </c>
      <c r="C4" t="s">
        <v>279</v>
      </c>
      <c r="D4" t="s">
        <v>279</v>
      </c>
      <c r="E4" t="s">
        <v>279</v>
      </c>
      <c r="F4" t="s">
        <v>279</v>
      </c>
      <c r="G4" t="s">
        <v>306</v>
      </c>
      <c r="H4" t="s">
        <v>300</v>
      </c>
      <c r="I4" t="s">
        <v>307</v>
      </c>
      <c r="J4" t="s">
        <v>279</v>
      </c>
      <c r="K4" t="s">
        <v>306</v>
      </c>
      <c r="L4" t="s">
        <v>300</v>
      </c>
      <c r="M4" t="s">
        <v>307</v>
      </c>
      <c r="N4" t="s">
        <v>279</v>
      </c>
      <c r="O4" t="s">
        <v>306</v>
      </c>
      <c r="P4" t="s">
        <v>300</v>
      </c>
      <c r="Q4" t="s">
        <v>307</v>
      </c>
      <c r="R4" t="s">
        <v>279</v>
      </c>
      <c r="S4" t="s">
        <v>306</v>
      </c>
      <c r="T4" t="s">
        <v>300</v>
      </c>
      <c r="U4" t="s">
        <v>307</v>
      </c>
      <c r="V4" t="s">
        <v>279</v>
      </c>
      <c r="W4" t="s">
        <v>306</v>
      </c>
      <c r="X4" t="s">
        <v>300</v>
      </c>
      <c r="Y4" t="s">
        <v>307</v>
      </c>
      <c r="Z4" t="s">
        <v>279</v>
      </c>
      <c r="AA4" t="s">
        <v>306</v>
      </c>
      <c r="AB4" t="s">
        <v>300</v>
      </c>
      <c r="AC4" t="s">
        <v>307</v>
      </c>
      <c r="AD4" t="s">
        <v>279</v>
      </c>
      <c r="AE4" t="s">
        <v>306</v>
      </c>
      <c r="AF4" t="s">
        <v>300</v>
      </c>
      <c r="AG4" t="s">
        <v>307</v>
      </c>
      <c r="AH4" t="s">
        <v>279</v>
      </c>
      <c r="AI4" t="s">
        <v>306</v>
      </c>
      <c r="AJ4" t="s">
        <v>300</v>
      </c>
      <c r="AK4" t="s">
        <v>307</v>
      </c>
      <c r="AL4" t="s">
        <v>279</v>
      </c>
      <c r="AM4" t="s">
        <v>306</v>
      </c>
      <c r="AN4" t="s">
        <v>300</v>
      </c>
      <c r="AO4" t="s">
        <v>307</v>
      </c>
      <c r="AP4" t="s">
        <v>279</v>
      </c>
      <c r="AQ4" t="s">
        <v>300</v>
      </c>
      <c r="AR4" t="s">
        <v>279</v>
      </c>
      <c r="AS4" t="s">
        <v>300</v>
      </c>
      <c r="AT4" t="s">
        <v>279</v>
      </c>
      <c r="AU4" t="s">
        <v>300</v>
      </c>
      <c r="AV4" t="s">
        <v>279</v>
      </c>
      <c r="AW4" t="s">
        <v>300</v>
      </c>
      <c r="AX4" t="s">
        <v>279</v>
      </c>
      <c r="AY4" t="s">
        <v>300</v>
      </c>
      <c r="AZ4" t="s">
        <v>279</v>
      </c>
      <c r="BA4" t="s">
        <v>300</v>
      </c>
      <c r="BB4" t="s">
        <v>279</v>
      </c>
      <c r="BC4" t="s">
        <v>300</v>
      </c>
      <c r="BD4" t="s">
        <v>279</v>
      </c>
      <c r="BE4" t="s">
        <v>300</v>
      </c>
      <c r="BF4" t="s">
        <v>279</v>
      </c>
      <c r="BG4" t="s">
        <v>300</v>
      </c>
      <c r="BH4" t="s">
        <v>279</v>
      </c>
      <c r="BI4" t="s">
        <v>300</v>
      </c>
      <c r="BJ4" t="s">
        <v>279</v>
      </c>
      <c r="BK4" t="s">
        <v>300</v>
      </c>
      <c r="BL4" t="s">
        <v>279</v>
      </c>
      <c r="BM4" t="s">
        <v>300</v>
      </c>
      <c r="BN4" t="s">
        <v>279</v>
      </c>
      <c r="BO4" t="s">
        <v>300</v>
      </c>
      <c r="BP4" t="s">
        <v>279</v>
      </c>
      <c r="BQ4" t="s">
        <v>300</v>
      </c>
      <c r="BR4" t="s">
        <v>279</v>
      </c>
      <c r="BS4" t="s">
        <v>308</v>
      </c>
      <c r="BT4" t="s">
        <v>308</v>
      </c>
      <c r="BU4" t="s">
        <v>308</v>
      </c>
    </row>
    <row r="5" spans="1:73" x14ac:dyDescent="0.3">
      <c r="A5" t="s">
        <v>141</v>
      </c>
    </row>
    <row r="6" spans="1:73" x14ac:dyDescent="0.3">
      <c r="A6" t="s">
        <v>142</v>
      </c>
    </row>
    <row r="7" spans="1:73" x14ac:dyDescent="0.3">
      <c r="A7" t="s">
        <v>143</v>
      </c>
      <c r="B7">
        <v>1728</v>
      </c>
      <c r="C7">
        <v>1716</v>
      </c>
      <c r="D7">
        <v>1303</v>
      </c>
      <c r="E7">
        <v>1011</v>
      </c>
      <c r="F7">
        <v>1479</v>
      </c>
      <c r="G7">
        <v>259</v>
      </c>
      <c r="H7">
        <v>812</v>
      </c>
      <c r="I7">
        <v>1451</v>
      </c>
      <c r="J7">
        <v>1800</v>
      </c>
      <c r="K7">
        <v>558</v>
      </c>
      <c r="L7">
        <v>1048</v>
      </c>
      <c r="M7">
        <v>1797</v>
      </c>
      <c r="N7">
        <v>2176</v>
      </c>
      <c r="O7">
        <v>496</v>
      </c>
      <c r="P7">
        <v>1126</v>
      </c>
      <c r="Q7">
        <v>1866</v>
      </c>
      <c r="R7">
        <v>2180</v>
      </c>
      <c r="S7">
        <v>484</v>
      </c>
      <c r="T7">
        <v>861</v>
      </c>
      <c r="U7">
        <v>1505</v>
      </c>
      <c r="V7">
        <v>1777</v>
      </c>
      <c r="W7">
        <v>604</v>
      </c>
      <c r="X7">
        <v>1246</v>
      </c>
      <c r="Y7">
        <v>3321</v>
      </c>
      <c r="Z7">
        <v>3760</v>
      </c>
      <c r="AA7">
        <v>582</v>
      </c>
      <c r="AB7">
        <v>1346</v>
      </c>
      <c r="AC7">
        <v>1901</v>
      </c>
      <c r="AD7">
        <v>2420</v>
      </c>
      <c r="AE7">
        <v>616</v>
      </c>
      <c r="AF7">
        <v>1325</v>
      </c>
      <c r="AG7">
        <v>1944</v>
      </c>
      <c r="AH7">
        <v>2622</v>
      </c>
      <c r="AI7">
        <v>684</v>
      </c>
      <c r="AJ7">
        <v>1492</v>
      </c>
      <c r="AK7">
        <v>2304</v>
      </c>
      <c r="AL7">
        <v>2904</v>
      </c>
      <c r="AM7">
        <v>807</v>
      </c>
      <c r="AN7">
        <v>1724</v>
      </c>
      <c r="AO7">
        <v>2714</v>
      </c>
      <c r="AP7">
        <v>3572</v>
      </c>
      <c r="AQ7">
        <v>2111</v>
      </c>
      <c r="AR7">
        <v>4101</v>
      </c>
      <c r="AS7">
        <v>2271</v>
      </c>
      <c r="AT7">
        <v>4318</v>
      </c>
      <c r="AU7">
        <v>2691</v>
      </c>
      <c r="AV7">
        <v>4721</v>
      </c>
      <c r="AW7">
        <v>2722</v>
      </c>
      <c r="AX7">
        <v>5372</v>
      </c>
      <c r="AY7">
        <v>2807</v>
      </c>
      <c r="AZ7">
        <v>5526</v>
      </c>
      <c r="BA7">
        <v>2458</v>
      </c>
      <c r="BB7">
        <v>4546</v>
      </c>
      <c r="BC7">
        <v>2347</v>
      </c>
      <c r="BD7">
        <v>4557</v>
      </c>
      <c r="BE7">
        <v>2213</v>
      </c>
      <c r="BF7">
        <v>4655</v>
      </c>
      <c r="BG7">
        <v>2574</v>
      </c>
      <c r="BH7">
        <v>6412</v>
      </c>
      <c r="BI7">
        <v>4438</v>
      </c>
      <c r="BJ7">
        <v>9313</v>
      </c>
      <c r="BK7">
        <v>4380</v>
      </c>
      <c r="BL7">
        <v>5849</v>
      </c>
      <c r="BM7">
        <v>5097</v>
      </c>
      <c r="BN7">
        <v>6564</v>
      </c>
      <c r="BO7">
        <v>3329</v>
      </c>
      <c r="BP7">
        <v>6974</v>
      </c>
      <c r="BQ7">
        <v>1938</v>
      </c>
      <c r="BR7">
        <v>6846</v>
      </c>
    </row>
    <row r="8" spans="1:73" x14ac:dyDescent="0.3">
      <c r="A8" t="s">
        <v>47</v>
      </c>
      <c r="B8">
        <v>221</v>
      </c>
      <c r="C8">
        <v>231</v>
      </c>
      <c r="D8">
        <v>239</v>
      </c>
      <c r="E8">
        <v>297</v>
      </c>
      <c r="F8">
        <v>350</v>
      </c>
      <c r="H8">
        <v>359</v>
      </c>
      <c r="J8">
        <v>401</v>
      </c>
      <c r="L8">
        <v>362</v>
      </c>
      <c r="N8">
        <v>396</v>
      </c>
      <c r="P8">
        <v>346</v>
      </c>
      <c r="R8">
        <v>338</v>
      </c>
      <c r="T8">
        <v>488</v>
      </c>
      <c r="V8">
        <v>477</v>
      </c>
      <c r="X8">
        <v>150</v>
      </c>
      <c r="Z8">
        <v>375</v>
      </c>
      <c r="AB8">
        <v>189</v>
      </c>
      <c r="AD8">
        <v>325</v>
      </c>
      <c r="AF8">
        <v>191</v>
      </c>
      <c r="AH8">
        <v>353</v>
      </c>
      <c r="AJ8">
        <v>156</v>
      </c>
      <c r="AL8">
        <v>318</v>
      </c>
      <c r="AN8">
        <v>174</v>
      </c>
      <c r="AP8">
        <v>420</v>
      </c>
      <c r="AQ8">
        <v>285</v>
      </c>
      <c r="AR8">
        <v>504</v>
      </c>
      <c r="AS8">
        <v>323</v>
      </c>
      <c r="AT8">
        <v>504</v>
      </c>
      <c r="AU8">
        <v>262</v>
      </c>
      <c r="AV8">
        <v>817</v>
      </c>
      <c r="AW8">
        <v>246</v>
      </c>
      <c r="AX8">
        <v>475</v>
      </c>
      <c r="AY8">
        <v>253</v>
      </c>
      <c r="AZ8">
        <v>477</v>
      </c>
      <c r="BA8">
        <v>234</v>
      </c>
      <c r="BB8">
        <v>523</v>
      </c>
      <c r="BC8">
        <v>197</v>
      </c>
      <c r="BD8">
        <v>428</v>
      </c>
      <c r="BE8">
        <v>253</v>
      </c>
      <c r="BF8">
        <v>607</v>
      </c>
      <c r="BG8">
        <v>346</v>
      </c>
      <c r="BH8">
        <v>902</v>
      </c>
      <c r="BI8">
        <v>437</v>
      </c>
      <c r="BJ8">
        <v>1038</v>
      </c>
      <c r="BK8">
        <v>521</v>
      </c>
      <c r="BL8">
        <v>1512</v>
      </c>
      <c r="BM8">
        <v>533</v>
      </c>
      <c r="BN8">
        <v>1241</v>
      </c>
      <c r="BO8">
        <v>473</v>
      </c>
      <c r="BP8">
        <v>992</v>
      </c>
      <c r="BQ8">
        <v>659</v>
      </c>
      <c r="BR8">
        <v>1291</v>
      </c>
    </row>
    <row r="9" spans="1:73" x14ac:dyDescent="0.3">
      <c r="A9" t="s">
        <v>144</v>
      </c>
      <c r="BL9">
        <v>2063</v>
      </c>
      <c r="BN9">
        <v>2108</v>
      </c>
      <c r="BO9">
        <v>1055</v>
      </c>
      <c r="BP9">
        <v>2189</v>
      </c>
      <c r="BQ9">
        <v>1123</v>
      </c>
      <c r="BR9">
        <v>2478</v>
      </c>
    </row>
    <row r="10" spans="1:73" x14ac:dyDescent="0.3">
      <c r="A10" t="s">
        <v>145</v>
      </c>
      <c r="B10">
        <v>-370</v>
      </c>
      <c r="C10">
        <v>-322</v>
      </c>
      <c r="D10">
        <v>-324</v>
      </c>
      <c r="E10">
        <v>-335</v>
      </c>
      <c r="F10">
        <v>-380</v>
      </c>
      <c r="J10">
        <v>-61</v>
      </c>
      <c r="L10">
        <v>-57</v>
      </c>
      <c r="P10">
        <v>-54</v>
      </c>
      <c r="T10">
        <v>-69</v>
      </c>
      <c r="X10">
        <v>-52</v>
      </c>
      <c r="Z10">
        <v>-126</v>
      </c>
      <c r="AB10">
        <v>-196</v>
      </c>
      <c r="AF10">
        <v>-243</v>
      </c>
      <c r="AJ10">
        <v>-222</v>
      </c>
      <c r="BL10">
        <v>-498</v>
      </c>
      <c r="BN10">
        <v>-455</v>
      </c>
      <c r="BO10">
        <v>-233</v>
      </c>
      <c r="BP10">
        <v>-415</v>
      </c>
      <c r="BQ10">
        <v>-200</v>
      </c>
      <c r="BR10">
        <v>-442</v>
      </c>
    </row>
    <row r="11" spans="1:73" x14ac:dyDescent="0.3">
      <c r="A11" t="s">
        <v>280</v>
      </c>
      <c r="Z11">
        <v>-1427</v>
      </c>
      <c r="AB11">
        <v>-68</v>
      </c>
      <c r="AD11">
        <v>-72</v>
      </c>
      <c r="AH11">
        <v>-60</v>
      </c>
      <c r="AJ11">
        <v>-11</v>
      </c>
      <c r="AL11">
        <v>-75</v>
      </c>
      <c r="AP11">
        <v>-141</v>
      </c>
      <c r="AQ11">
        <v>-2</v>
      </c>
      <c r="AR11">
        <v>-2</v>
      </c>
      <c r="AS11">
        <v>-5</v>
      </c>
      <c r="AT11">
        <v>-5</v>
      </c>
      <c r="AZ11">
        <v>-26</v>
      </c>
      <c r="BN11">
        <v>-217</v>
      </c>
      <c r="BP11">
        <v>276</v>
      </c>
      <c r="BR11">
        <v>-475</v>
      </c>
    </row>
    <row r="12" spans="1:73" x14ac:dyDescent="0.3">
      <c r="A12" t="s">
        <v>146</v>
      </c>
      <c r="B12">
        <v>-66</v>
      </c>
      <c r="C12">
        <v>-201</v>
      </c>
      <c r="D12">
        <v>-71</v>
      </c>
      <c r="E12">
        <v>-36</v>
      </c>
      <c r="F12">
        <v>31</v>
      </c>
      <c r="H12">
        <v>-115</v>
      </c>
      <c r="J12">
        <v>122</v>
      </c>
      <c r="L12">
        <v>92</v>
      </c>
      <c r="N12">
        <v>234</v>
      </c>
      <c r="P12">
        <v>-41</v>
      </c>
      <c r="R12">
        <v>58</v>
      </c>
      <c r="T12">
        <v>-15</v>
      </c>
      <c r="V12">
        <v>179</v>
      </c>
      <c r="X12">
        <v>-102</v>
      </c>
      <c r="Z12">
        <v>45</v>
      </c>
      <c r="AB12">
        <v>-158</v>
      </c>
      <c r="AD12">
        <v>-28</v>
      </c>
      <c r="AF12">
        <v>-202</v>
      </c>
      <c r="AH12">
        <v>21</v>
      </c>
      <c r="AJ12">
        <v>-146</v>
      </c>
      <c r="AL12">
        <v>170</v>
      </c>
      <c r="AN12">
        <v>-415</v>
      </c>
      <c r="AP12">
        <v>-367</v>
      </c>
      <c r="AQ12">
        <v>-527</v>
      </c>
      <c r="AR12">
        <v>-125</v>
      </c>
      <c r="AS12">
        <v>-269</v>
      </c>
      <c r="AT12">
        <v>-280</v>
      </c>
      <c r="AU12">
        <v>-171</v>
      </c>
      <c r="AV12">
        <v>-47</v>
      </c>
      <c r="AW12">
        <v>-593</v>
      </c>
      <c r="AX12">
        <v>-755</v>
      </c>
      <c r="AY12">
        <v>62</v>
      </c>
      <c r="AZ12">
        <v>-386</v>
      </c>
      <c r="BA12">
        <v>-110</v>
      </c>
      <c r="BB12">
        <v>-405</v>
      </c>
      <c r="BC12">
        <v>24</v>
      </c>
      <c r="BD12">
        <v>-520</v>
      </c>
      <c r="BE12">
        <v>118</v>
      </c>
      <c r="BF12">
        <v>-638</v>
      </c>
      <c r="BG12">
        <v>539</v>
      </c>
      <c r="BH12">
        <v>1409</v>
      </c>
      <c r="BI12">
        <v>-582</v>
      </c>
      <c r="BJ12">
        <v>-192</v>
      </c>
      <c r="BK12">
        <v>-666</v>
      </c>
      <c r="BL12">
        <v>-371</v>
      </c>
      <c r="BM12">
        <v>-574</v>
      </c>
      <c r="BN12">
        <v>-144</v>
      </c>
      <c r="BO12">
        <v>-600</v>
      </c>
      <c r="BP12">
        <v>433</v>
      </c>
      <c r="BQ12">
        <v>-437</v>
      </c>
      <c r="BR12">
        <v>-246</v>
      </c>
    </row>
    <row r="13" spans="1:73" x14ac:dyDescent="0.3">
      <c r="A13" t="s">
        <v>147</v>
      </c>
      <c r="B13">
        <v>19</v>
      </c>
      <c r="C13">
        <v>-50</v>
      </c>
      <c r="D13">
        <v>-10</v>
      </c>
      <c r="E13">
        <v>-131</v>
      </c>
      <c r="F13">
        <v>82</v>
      </c>
      <c r="H13">
        <v>-7</v>
      </c>
      <c r="J13">
        <v>27</v>
      </c>
      <c r="L13">
        <v>8</v>
      </c>
      <c r="N13">
        <v>86</v>
      </c>
      <c r="P13">
        <v>18</v>
      </c>
      <c r="R13">
        <v>57</v>
      </c>
      <c r="T13">
        <v>-101</v>
      </c>
      <c r="V13">
        <v>-52</v>
      </c>
      <c r="X13">
        <v>163</v>
      </c>
      <c r="Z13">
        <v>52</v>
      </c>
      <c r="AB13">
        <v>-62</v>
      </c>
      <c r="AD13">
        <v>-178</v>
      </c>
      <c r="AF13">
        <v>-66</v>
      </c>
      <c r="AH13">
        <v>-105</v>
      </c>
      <c r="AJ13">
        <v>134</v>
      </c>
      <c r="AL13">
        <v>-83</v>
      </c>
      <c r="AN13">
        <v>120</v>
      </c>
      <c r="AP13">
        <v>19</v>
      </c>
      <c r="AQ13">
        <v>-35</v>
      </c>
      <c r="AR13">
        <v>30</v>
      </c>
      <c r="AS13">
        <v>-205</v>
      </c>
      <c r="AT13">
        <v>-127</v>
      </c>
      <c r="AU13">
        <v>-85</v>
      </c>
      <c r="AV13">
        <v>-87</v>
      </c>
      <c r="AW13">
        <v>-382</v>
      </c>
      <c r="AX13">
        <v>-329</v>
      </c>
      <c r="AY13">
        <v>-240</v>
      </c>
      <c r="AZ13">
        <v>-246</v>
      </c>
      <c r="BA13">
        <v>149</v>
      </c>
      <c r="BB13">
        <v>-36</v>
      </c>
      <c r="BC13">
        <v>59</v>
      </c>
      <c r="BD13">
        <v>-563</v>
      </c>
      <c r="BE13">
        <v>105</v>
      </c>
      <c r="BF13">
        <v>-155</v>
      </c>
      <c r="BG13">
        <v>-281</v>
      </c>
      <c r="BH13">
        <v>-862</v>
      </c>
      <c r="BI13">
        <v>-78</v>
      </c>
      <c r="BJ13">
        <v>502</v>
      </c>
      <c r="BK13">
        <v>68</v>
      </c>
      <c r="BL13">
        <v>-263</v>
      </c>
      <c r="BM13">
        <v>-368</v>
      </c>
      <c r="BN13">
        <v>300</v>
      </c>
      <c r="BO13">
        <v>-325</v>
      </c>
      <c r="BP13">
        <v>-393</v>
      </c>
      <c r="BQ13">
        <v>41</v>
      </c>
      <c r="BR13">
        <v>-42</v>
      </c>
    </row>
    <row r="14" spans="1:73" x14ac:dyDescent="0.3">
      <c r="A14" t="s">
        <v>148</v>
      </c>
      <c r="B14">
        <v>20</v>
      </c>
      <c r="C14">
        <v>98</v>
      </c>
      <c r="D14">
        <v>207</v>
      </c>
      <c r="E14">
        <v>291</v>
      </c>
      <c r="F14">
        <v>180</v>
      </c>
      <c r="H14">
        <v>-147</v>
      </c>
      <c r="J14">
        <v>206</v>
      </c>
      <c r="L14">
        <v>203</v>
      </c>
      <c r="N14">
        <v>-29</v>
      </c>
      <c r="P14">
        <v>17</v>
      </c>
      <c r="R14">
        <v>17</v>
      </c>
      <c r="T14">
        <v>-52</v>
      </c>
      <c r="V14">
        <v>125</v>
      </c>
      <c r="X14">
        <v>2</v>
      </c>
      <c r="Z14">
        <v>-30</v>
      </c>
      <c r="AB14">
        <v>152</v>
      </c>
      <c r="AD14">
        <v>326</v>
      </c>
      <c r="AF14">
        <v>-100</v>
      </c>
      <c r="AH14">
        <v>57</v>
      </c>
      <c r="AJ14">
        <v>-94</v>
      </c>
      <c r="AL14">
        <v>61</v>
      </c>
      <c r="AN14">
        <v>55</v>
      </c>
      <c r="AP14">
        <v>746</v>
      </c>
      <c r="AQ14">
        <v>84</v>
      </c>
      <c r="AR14">
        <v>174</v>
      </c>
      <c r="AS14">
        <v>-14</v>
      </c>
      <c r="AT14">
        <v>497</v>
      </c>
      <c r="AU14">
        <v>-459</v>
      </c>
      <c r="AV14">
        <v>46</v>
      </c>
      <c r="AW14">
        <v>-167</v>
      </c>
      <c r="AX14">
        <v>840</v>
      </c>
      <c r="AY14">
        <v>-943</v>
      </c>
      <c r="AZ14">
        <v>311</v>
      </c>
      <c r="BA14">
        <v>-932</v>
      </c>
      <c r="BB14">
        <v>203</v>
      </c>
      <c r="BC14">
        <v>-713</v>
      </c>
      <c r="BD14">
        <v>732</v>
      </c>
      <c r="BE14">
        <v>-1323</v>
      </c>
      <c r="BF14">
        <v>428</v>
      </c>
      <c r="BG14">
        <v>-1312</v>
      </c>
      <c r="BH14">
        <v>-685</v>
      </c>
      <c r="BI14">
        <v>-189</v>
      </c>
      <c r="BJ14">
        <v>123</v>
      </c>
      <c r="BK14">
        <v>-309</v>
      </c>
      <c r="BL14">
        <v>606</v>
      </c>
      <c r="BM14">
        <v>-4</v>
      </c>
      <c r="BN14">
        <v>49</v>
      </c>
      <c r="BO14">
        <v>-314</v>
      </c>
      <c r="BP14">
        <v>147</v>
      </c>
      <c r="BQ14">
        <v>-84</v>
      </c>
      <c r="BR14">
        <v>-142</v>
      </c>
    </row>
    <row r="15" spans="1:73" x14ac:dyDescent="0.3">
      <c r="A15" t="s">
        <v>149</v>
      </c>
      <c r="B15">
        <v>-82</v>
      </c>
      <c r="C15">
        <v>31</v>
      </c>
      <c r="D15">
        <v>48</v>
      </c>
      <c r="E15">
        <v>10</v>
      </c>
      <c r="F15">
        <v>245</v>
      </c>
      <c r="H15">
        <v>-7</v>
      </c>
      <c r="J15">
        <v>262</v>
      </c>
      <c r="L15">
        <v>-26</v>
      </c>
      <c r="N15">
        <v>399</v>
      </c>
      <c r="P15">
        <v>-62</v>
      </c>
      <c r="R15">
        <v>284</v>
      </c>
      <c r="T15">
        <v>111</v>
      </c>
      <c r="V15">
        <v>562</v>
      </c>
      <c r="X15">
        <v>-41</v>
      </c>
      <c r="Z15">
        <v>-96</v>
      </c>
      <c r="AB15">
        <v>-82</v>
      </c>
      <c r="AD15">
        <v>119</v>
      </c>
      <c r="AF15">
        <v>-49</v>
      </c>
      <c r="AH15">
        <v>-20</v>
      </c>
      <c r="AJ15">
        <v>-43</v>
      </c>
      <c r="AL15">
        <v>2</v>
      </c>
      <c r="AN15">
        <v>-41</v>
      </c>
      <c r="AP15">
        <v>-21</v>
      </c>
      <c r="AQ15">
        <v>-23</v>
      </c>
      <c r="AR15">
        <v>69</v>
      </c>
      <c r="AS15">
        <v>-20</v>
      </c>
      <c r="AT15">
        <v>410</v>
      </c>
      <c r="AU15">
        <v>-64</v>
      </c>
      <c r="AV15">
        <v>24</v>
      </c>
      <c r="AW15">
        <v>-135</v>
      </c>
      <c r="AX15">
        <v>-205</v>
      </c>
      <c r="AY15">
        <v>-111</v>
      </c>
      <c r="AZ15">
        <v>-241</v>
      </c>
      <c r="BA15">
        <v>-115</v>
      </c>
      <c r="BB15">
        <v>-246</v>
      </c>
      <c r="BC15">
        <v>-75</v>
      </c>
      <c r="BD15">
        <v>-143</v>
      </c>
      <c r="BE15">
        <v>-79</v>
      </c>
      <c r="BF15">
        <v>-4</v>
      </c>
      <c r="BG15">
        <v>-110</v>
      </c>
      <c r="BH15">
        <v>-1143</v>
      </c>
      <c r="BI15">
        <v>576</v>
      </c>
      <c r="BJ15">
        <v>1157</v>
      </c>
      <c r="BK15">
        <v>-641</v>
      </c>
      <c r="BL15">
        <v>342</v>
      </c>
      <c r="BM15">
        <v>-657</v>
      </c>
      <c r="BN15">
        <v>-96</v>
      </c>
      <c r="BO15">
        <v>-904</v>
      </c>
      <c r="BP15">
        <v>-249</v>
      </c>
      <c r="BQ15">
        <v>-516</v>
      </c>
      <c r="BR15">
        <v>533</v>
      </c>
    </row>
    <row r="16" spans="1:73" x14ac:dyDescent="0.3">
      <c r="A16" t="s">
        <v>150</v>
      </c>
      <c r="B16">
        <v>-109</v>
      </c>
      <c r="C16">
        <v>-122</v>
      </c>
      <c r="D16">
        <v>174</v>
      </c>
      <c r="E16">
        <v>134</v>
      </c>
      <c r="F16">
        <v>538</v>
      </c>
      <c r="H16">
        <v>-276</v>
      </c>
      <c r="J16">
        <v>617</v>
      </c>
      <c r="L16">
        <v>277</v>
      </c>
      <c r="N16">
        <v>690</v>
      </c>
      <c r="P16">
        <v>-68</v>
      </c>
      <c r="R16">
        <v>416</v>
      </c>
      <c r="T16">
        <v>-57</v>
      </c>
      <c r="V16">
        <v>814</v>
      </c>
      <c r="X16">
        <v>22</v>
      </c>
      <c r="Z16">
        <v>-29</v>
      </c>
      <c r="AB16">
        <v>-150</v>
      </c>
      <c r="AD16">
        <v>239</v>
      </c>
      <c r="AF16">
        <v>-417</v>
      </c>
      <c r="AH16">
        <v>-47</v>
      </c>
      <c r="AJ16">
        <v>-149</v>
      </c>
      <c r="AL16">
        <v>150</v>
      </c>
      <c r="AN16">
        <v>-281</v>
      </c>
      <c r="AP16">
        <v>377</v>
      </c>
      <c r="AQ16">
        <v>-501</v>
      </c>
      <c r="AR16">
        <v>148</v>
      </c>
      <c r="AS16">
        <v>-508</v>
      </c>
      <c r="AT16">
        <v>500</v>
      </c>
      <c r="AU16">
        <v>-779</v>
      </c>
      <c r="AV16">
        <v>-64</v>
      </c>
      <c r="AW16">
        <v>-1277</v>
      </c>
      <c r="AX16">
        <v>-449</v>
      </c>
      <c r="AY16">
        <v>-1232</v>
      </c>
      <c r="AZ16">
        <v>-562</v>
      </c>
      <c r="BA16">
        <v>-1008</v>
      </c>
      <c r="BB16">
        <v>-484</v>
      </c>
      <c r="BC16">
        <v>-705</v>
      </c>
      <c r="BD16">
        <v>-494</v>
      </c>
      <c r="BE16">
        <v>-1179</v>
      </c>
      <c r="BF16">
        <v>-369</v>
      </c>
      <c r="BG16">
        <v>-1164</v>
      </c>
      <c r="BH16">
        <v>-1281</v>
      </c>
      <c r="BI16">
        <v>-273</v>
      </c>
      <c r="BJ16">
        <v>1590</v>
      </c>
      <c r="BK16">
        <v>-1548</v>
      </c>
      <c r="BL16">
        <v>314</v>
      </c>
      <c r="BM16">
        <v>-1603</v>
      </c>
      <c r="BN16">
        <v>109</v>
      </c>
      <c r="BO16">
        <v>-2143</v>
      </c>
      <c r="BP16">
        <v>-62</v>
      </c>
      <c r="BQ16">
        <v>-996</v>
      </c>
      <c r="BR16">
        <v>103</v>
      </c>
    </row>
    <row r="17" spans="1:73" x14ac:dyDescent="0.3">
      <c r="A17" t="s">
        <v>151</v>
      </c>
      <c r="H17">
        <v>-12</v>
      </c>
      <c r="L17">
        <v>-2</v>
      </c>
      <c r="P17">
        <v>-24</v>
      </c>
      <c r="T17">
        <v>5</v>
      </c>
      <c r="X17">
        <v>-20</v>
      </c>
      <c r="Z17">
        <v>-180</v>
      </c>
      <c r="AB17">
        <v>69</v>
      </c>
      <c r="AC17">
        <v>-1901</v>
      </c>
      <c r="AD17">
        <v>-3</v>
      </c>
      <c r="AE17">
        <v>-616</v>
      </c>
      <c r="AF17">
        <v>148</v>
      </c>
      <c r="AG17">
        <v>-1944</v>
      </c>
      <c r="AH17">
        <v>-165</v>
      </c>
      <c r="AI17">
        <v>-684</v>
      </c>
      <c r="AJ17">
        <v>178</v>
      </c>
      <c r="AK17">
        <v>-2304</v>
      </c>
      <c r="AL17">
        <v>-72</v>
      </c>
      <c r="AM17">
        <v>-807</v>
      </c>
      <c r="AN17">
        <v>43</v>
      </c>
      <c r="AO17">
        <v>-2714</v>
      </c>
      <c r="AP17">
        <v>162</v>
      </c>
      <c r="AQ17">
        <v>-333</v>
      </c>
      <c r="AR17">
        <v>-252</v>
      </c>
      <c r="AS17">
        <v>-148</v>
      </c>
      <c r="AT17">
        <v>-124</v>
      </c>
      <c r="AU17">
        <v>-68</v>
      </c>
      <c r="AV17">
        <v>63</v>
      </c>
      <c r="AW17">
        <v>23</v>
      </c>
      <c r="AX17">
        <v>39</v>
      </c>
      <c r="AY17">
        <v>39</v>
      </c>
      <c r="AZ17">
        <v>-49</v>
      </c>
      <c r="BA17">
        <v>18</v>
      </c>
      <c r="BB17">
        <v>49</v>
      </c>
      <c r="BC17">
        <v>2</v>
      </c>
      <c r="BD17">
        <v>-54</v>
      </c>
      <c r="BE17">
        <v>63</v>
      </c>
      <c r="BG17">
        <v>32</v>
      </c>
      <c r="BH17">
        <v>86</v>
      </c>
      <c r="BI17">
        <v>68</v>
      </c>
      <c r="BJ17">
        <v>31</v>
      </c>
      <c r="BK17">
        <v>41</v>
      </c>
      <c r="BL17">
        <v>1708</v>
      </c>
      <c r="BM17">
        <v>7</v>
      </c>
      <c r="BN17">
        <v>2217</v>
      </c>
      <c r="BO17">
        <v>836</v>
      </c>
      <c r="BP17">
        <v>1724</v>
      </c>
      <c r="BQ17">
        <v>1806</v>
      </c>
      <c r="BR17">
        <v>2736</v>
      </c>
    </row>
    <row r="18" spans="1:73" x14ac:dyDescent="0.3">
      <c r="A18" t="s">
        <v>152</v>
      </c>
      <c r="B18">
        <v>1470</v>
      </c>
      <c r="C18">
        <v>1503</v>
      </c>
      <c r="D18">
        <v>1392</v>
      </c>
      <c r="E18">
        <v>1107</v>
      </c>
      <c r="F18">
        <v>1987</v>
      </c>
      <c r="G18">
        <v>259</v>
      </c>
      <c r="H18">
        <v>883</v>
      </c>
      <c r="I18">
        <v>1451</v>
      </c>
      <c r="J18">
        <v>2757</v>
      </c>
      <c r="K18">
        <v>558</v>
      </c>
      <c r="L18">
        <v>1628</v>
      </c>
      <c r="M18">
        <v>1797</v>
      </c>
      <c r="N18">
        <v>3262</v>
      </c>
      <c r="O18">
        <v>496</v>
      </c>
      <c r="P18">
        <v>1326</v>
      </c>
      <c r="Q18">
        <v>1866</v>
      </c>
      <c r="R18">
        <v>2934</v>
      </c>
      <c r="S18">
        <v>484</v>
      </c>
      <c r="T18">
        <v>1228</v>
      </c>
      <c r="U18">
        <v>1505</v>
      </c>
      <c r="V18">
        <v>3068</v>
      </c>
      <c r="W18">
        <v>604</v>
      </c>
      <c r="X18">
        <v>1346</v>
      </c>
      <c r="Y18">
        <v>3321</v>
      </c>
      <c r="Z18">
        <v>2373</v>
      </c>
      <c r="AA18">
        <v>582</v>
      </c>
      <c r="AB18">
        <v>1190</v>
      </c>
      <c r="AD18">
        <v>2909</v>
      </c>
      <c r="AF18">
        <v>1004</v>
      </c>
      <c r="AH18">
        <v>2703</v>
      </c>
      <c r="AJ18">
        <v>1444</v>
      </c>
      <c r="AL18">
        <v>3225</v>
      </c>
      <c r="AN18">
        <v>1660</v>
      </c>
      <c r="AP18">
        <v>4390</v>
      </c>
      <c r="AQ18">
        <v>1560</v>
      </c>
      <c r="AR18">
        <v>4499</v>
      </c>
      <c r="AS18">
        <v>1933</v>
      </c>
      <c r="AT18">
        <v>5193</v>
      </c>
      <c r="AU18">
        <v>2106</v>
      </c>
      <c r="AV18">
        <v>5537</v>
      </c>
      <c r="AW18">
        <v>1714</v>
      </c>
      <c r="AX18">
        <v>5437</v>
      </c>
      <c r="AY18">
        <v>1867</v>
      </c>
      <c r="AZ18">
        <v>5366</v>
      </c>
      <c r="BA18">
        <v>1702</v>
      </c>
      <c r="BB18">
        <v>4634</v>
      </c>
      <c r="BC18">
        <v>1841</v>
      </c>
      <c r="BD18">
        <v>4437</v>
      </c>
      <c r="BE18">
        <v>1350</v>
      </c>
      <c r="BF18">
        <v>4893</v>
      </c>
      <c r="BG18">
        <v>1788</v>
      </c>
      <c r="BH18">
        <v>6119</v>
      </c>
      <c r="BI18">
        <v>4670</v>
      </c>
      <c r="BJ18">
        <v>11972</v>
      </c>
      <c r="BK18">
        <v>3394</v>
      </c>
      <c r="BL18">
        <v>10948</v>
      </c>
      <c r="BM18">
        <v>4034</v>
      </c>
      <c r="BN18">
        <v>11567</v>
      </c>
      <c r="BO18">
        <v>3317</v>
      </c>
      <c r="BP18">
        <v>11678</v>
      </c>
      <c r="BQ18">
        <v>4330</v>
      </c>
      <c r="BR18">
        <v>12537</v>
      </c>
    </row>
    <row r="19" spans="1:73" x14ac:dyDescent="0.3">
      <c r="A19" t="s">
        <v>281</v>
      </c>
      <c r="B19">
        <v>-303</v>
      </c>
      <c r="C19">
        <v>-328</v>
      </c>
      <c r="D19">
        <v>-399</v>
      </c>
      <c r="E19">
        <v>-354</v>
      </c>
      <c r="F19">
        <v>-260</v>
      </c>
      <c r="J19">
        <v>-492</v>
      </c>
      <c r="N19">
        <v>-484</v>
      </c>
      <c r="R19">
        <v>-347</v>
      </c>
      <c r="V19">
        <v>-324</v>
      </c>
      <c r="X19">
        <v>-211</v>
      </c>
      <c r="Z19">
        <v>-355</v>
      </c>
      <c r="AB19">
        <v>-172</v>
      </c>
      <c r="AD19">
        <v>-375</v>
      </c>
      <c r="AF19">
        <v>-176</v>
      </c>
      <c r="AH19">
        <v>-392</v>
      </c>
      <c r="AJ19">
        <v>-173</v>
      </c>
      <c r="AL19">
        <v>-387</v>
      </c>
      <c r="AN19">
        <v>-179</v>
      </c>
      <c r="AP19">
        <v>-403</v>
      </c>
      <c r="AQ19">
        <v>-352</v>
      </c>
      <c r="AR19">
        <v>-578</v>
      </c>
      <c r="AS19">
        <v>-335</v>
      </c>
      <c r="AT19">
        <v>-580</v>
      </c>
      <c r="AU19">
        <v>-327</v>
      </c>
    </row>
    <row r="20" spans="1:73" x14ac:dyDescent="0.3">
      <c r="A20" t="s">
        <v>282</v>
      </c>
    </row>
    <row r="21" spans="1:73" x14ac:dyDescent="0.3">
      <c r="A21" t="s">
        <v>283</v>
      </c>
      <c r="B21">
        <v>-397</v>
      </c>
      <c r="C21">
        <v>-468</v>
      </c>
      <c r="D21">
        <v>-462</v>
      </c>
      <c r="E21">
        <v>-696</v>
      </c>
      <c r="F21">
        <v>-530</v>
      </c>
      <c r="J21">
        <v>-580</v>
      </c>
      <c r="N21">
        <v>-638</v>
      </c>
      <c r="R21">
        <v>-707</v>
      </c>
      <c r="V21">
        <v>-773</v>
      </c>
    </row>
    <row r="22" spans="1:73" x14ac:dyDescent="0.3">
      <c r="A22" t="s">
        <v>284</v>
      </c>
      <c r="AV22">
        <v>476</v>
      </c>
      <c r="AW22">
        <v>176</v>
      </c>
      <c r="AX22">
        <v>486</v>
      </c>
      <c r="AY22">
        <v>182</v>
      </c>
      <c r="AZ22">
        <v>510</v>
      </c>
      <c r="BA22">
        <v>179</v>
      </c>
      <c r="BB22">
        <v>515</v>
      </c>
      <c r="BC22">
        <v>201</v>
      </c>
      <c r="BD22">
        <v>593</v>
      </c>
      <c r="BE22">
        <v>324</v>
      </c>
      <c r="BF22">
        <v>962</v>
      </c>
      <c r="BG22">
        <v>465</v>
      </c>
      <c r="BH22">
        <v>903</v>
      </c>
      <c r="BI22">
        <v>1</v>
      </c>
      <c r="BJ22">
        <v>214</v>
      </c>
      <c r="BK22">
        <v>2</v>
      </c>
      <c r="BL22">
        <v>252</v>
      </c>
      <c r="BM22">
        <v>2</v>
      </c>
      <c r="BN22">
        <v>351</v>
      </c>
      <c r="BO22">
        <v>164</v>
      </c>
      <c r="BP22">
        <v>353</v>
      </c>
      <c r="BQ22">
        <v>171</v>
      </c>
      <c r="BR22">
        <v>394</v>
      </c>
    </row>
    <row r="23" spans="1:73" x14ac:dyDescent="0.3">
      <c r="A23" t="s">
        <v>179</v>
      </c>
      <c r="B23">
        <v>124</v>
      </c>
      <c r="C23">
        <v>197</v>
      </c>
      <c r="D23">
        <v>174</v>
      </c>
      <c r="E23">
        <v>389</v>
      </c>
      <c r="F23">
        <v>152</v>
      </c>
      <c r="J23">
        <v>-7</v>
      </c>
      <c r="N23">
        <v>-47</v>
      </c>
      <c r="R23">
        <v>-6</v>
      </c>
      <c r="V23">
        <v>-55</v>
      </c>
      <c r="Z23">
        <v>23</v>
      </c>
      <c r="AB23">
        <v>63</v>
      </c>
      <c r="AD23">
        <v>34</v>
      </c>
      <c r="AF23">
        <v>86</v>
      </c>
      <c r="AH23">
        <v>19</v>
      </c>
      <c r="AJ23">
        <v>95</v>
      </c>
      <c r="AL23">
        <v>5</v>
      </c>
      <c r="AN23">
        <v>153</v>
      </c>
      <c r="AP23">
        <v>29</v>
      </c>
      <c r="AQ23">
        <v>143</v>
      </c>
      <c r="AR23">
        <v>23</v>
      </c>
      <c r="AS23">
        <v>150</v>
      </c>
      <c r="AT23">
        <v>45</v>
      </c>
      <c r="AU23">
        <v>159</v>
      </c>
      <c r="BD23">
        <v>963</v>
      </c>
    </row>
    <row r="24" spans="1:73" x14ac:dyDescent="0.3">
      <c r="A24" t="s">
        <v>48</v>
      </c>
      <c r="B24">
        <v>-348</v>
      </c>
      <c r="C24">
        <v>-429</v>
      </c>
      <c r="D24">
        <v>-358</v>
      </c>
      <c r="E24">
        <v>-281</v>
      </c>
      <c r="F24">
        <v>-334</v>
      </c>
      <c r="H24">
        <v>-288</v>
      </c>
      <c r="J24">
        <v>-598</v>
      </c>
      <c r="L24">
        <v>-469</v>
      </c>
      <c r="N24">
        <v>-858</v>
      </c>
      <c r="P24">
        <v>-497</v>
      </c>
      <c r="R24">
        <v>-907</v>
      </c>
      <c r="T24">
        <v>-388</v>
      </c>
      <c r="V24">
        <v>-709</v>
      </c>
      <c r="X24">
        <v>-395</v>
      </c>
      <c r="Z24">
        <v>-703</v>
      </c>
      <c r="AB24">
        <v>-373</v>
      </c>
      <c r="AD24">
        <v>-762</v>
      </c>
      <c r="AF24">
        <v>-378</v>
      </c>
      <c r="AH24">
        <v>-713</v>
      </c>
      <c r="AJ24">
        <v>-410</v>
      </c>
      <c r="AL24">
        <v>-866</v>
      </c>
      <c r="AN24">
        <v>-455</v>
      </c>
      <c r="AP24">
        <v>-943</v>
      </c>
      <c r="AQ24">
        <v>-517</v>
      </c>
      <c r="AR24">
        <v>-1095</v>
      </c>
      <c r="AS24">
        <v>-546</v>
      </c>
      <c r="AT24">
        <v>-1178</v>
      </c>
      <c r="AU24">
        <v>-744</v>
      </c>
      <c r="AV24">
        <v>-1447</v>
      </c>
      <c r="AW24">
        <v>-708</v>
      </c>
      <c r="AX24">
        <v>-1496</v>
      </c>
      <c r="AY24">
        <v>-730</v>
      </c>
      <c r="AZ24">
        <v>-1440</v>
      </c>
      <c r="BA24">
        <v>-711</v>
      </c>
      <c r="BB24">
        <v>-1433</v>
      </c>
      <c r="BC24">
        <v>-687</v>
      </c>
      <c r="BD24">
        <v>-1273</v>
      </c>
      <c r="BE24">
        <v>-620</v>
      </c>
      <c r="BF24">
        <v>-1245</v>
      </c>
      <c r="BG24">
        <v>-547</v>
      </c>
      <c r="BH24">
        <v>-1675</v>
      </c>
      <c r="BI24">
        <v>-813</v>
      </c>
      <c r="BJ24">
        <v>-1891</v>
      </c>
      <c r="BK24">
        <v>-1108</v>
      </c>
      <c r="BL24">
        <v>-2204</v>
      </c>
      <c r="BM24">
        <v>-552</v>
      </c>
      <c r="BN24">
        <v>-2132</v>
      </c>
      <c r="BO24">
        <v>-1227</v>
      </c>
      <c r="BP24">
        <v>-2314</v>
      </c>
      <c r="BQ24">
        <v>-1280</v>
      </c>
      <c r="BR24">
        <v>-2537</v>
      </c>
    </row>
    <row r="25" spans="1:73" x14ac:dyDescent="0.3">
      <c r="A25" t="s">
        <v>153</v>
      </c>
      <c r="B25">
        <v>546</v>
      </c>
      <c r="C25">
        <v>475</v>
      </c>
      <c r="D25">
        <v>347</v>
      </c>
      <c r="E25">
        <v>165</v>
      </c>
      <c r="F25">
        <v>1015</v>
      </c>
      <c r="J25">
        <v>1080</v>
      </c>
      <c r="N25">
        <v>1235</v>
      </c>
      <c r="R25">
        <v>967</v>
      </c>
      <c r="V25">
        <v>1207</v>
      </c>
      <c r="Z25">
        <v>1338</v>
      </c>
      <c r="AA25">
        <v>582</v>
      </c>
      <c r="AB25">
        <v>708</v>
      </c>
      <c r="AD25">
        <v>1806</v>
      </c>
      <c r="AF25">
        <v>536</v>
      </c>
      <c r="AH25">
        <v>1617</v>
      </c>
      <c r="AJ25">
        <v>956</v>
      </c>
      <c r="AL25">
        <v>1977</v>
      </c>
      <c r="AN25">
        <v>1179</v>
      </c>
      <c r="AP25">
        <v>3073</v>
      </c>
      <c r="AQ25">
        <v>834</v>
      </c>
      <c r="AR25">
        <v>2849</v>
      </c>
      <c r="AS25">
        <v>1202</v>
      </c>
      <c r="AT25">
        <v>3480</v>
      </c>
      <c r="AU25">
        <v>1194</v>
      </c>
      <c r="AV25">
        <v>4566</v>
      </c>
      <c r="AW25">
        <v>1182</v>
      </c>
      <c r="AX25">
        <v>4427</v>
      </c>
      <c r="AY25">
        <v>1319</v>
      </c>
      <c r="AZ25">
        <v>4436</v>
      </c>
      <c r="BA25">
        <v>1170</v>
      </c>
      <c r="BB25">
        <v>3716</v>
      </c>
      <c r="BC25">
        <v>1355</v>
      </c>
      <c r="BD25">
        <v>4720</v>
      </c>
      <c r="BE25">
        <v>1054</v>
      </c>
      <c r="BF25">
        <v>4610</v>
      </c>
      <c r="BG25">
        <v>1706</v>
      </c>
      <c r="BH25">
        <v>5347</v>
      </c>
      <c r="BI25">
        <v>3858</v>
      </c>
      <c r="BJ25">
        <v>10295</v>
      </c>
      <c r="BK25">
        <v>2288</v>
      </c>
      <c r="BL25">
        <v>8996</v>
      </c>
      <c r="BM25">
        <v>3484</v>
      </c>
      <c r="BN25">
        <v>9786</v>
      </c>
      <c r="BO25">
        <v>2254</v>
      </c>
      <c r="BP25">
        <v>9717</v>
      </c>
      <c r="BQ25">
        <v>3221</v>
      </c>
      <c r="BR25">
        <v>10394</v>
      </c>
    </row>
    <row r="26" spans="1:73" x14ac:dyDescent="0.3">
      <c r="A26" t="s">
        <v>154</v>
      </c>
      <c r="B26">
        <v>-361</v>
      </c>
      <c r="C26">
        <v>-360</v>
      </c>
      <c r="D26">
        <v>-360</v>
      </c>
      <c r="E26">
        <v>-363</v>
      </c>
      <c r="J26">
        <v>-362</v>
      </c>
      <c r="N26">
        <v>-515</v>
      </c>
      <c r="R26">
        <v>-490</v>
      </c>
      <c r="V26">
        <v>-428</v>
      </c>
      <c r="X26">
        <v>-106</v>
      </c>
      <c r="Z26">
        <v>-333</v>
      </c>
      <c r="AB26">
        <v>-122</v>
      </c>
      <c r="AD26">
        <v>-419</v>
      </c>
      <c r="AF26">
        <v>-180</v>
      </c>
      <c r="AH26">
        <v>-483</v>
      </c>
      <c r="AJ26">
        <v>-175</v>
      </c>
      <c r="AL26">
        <v>-482</v>
      </c>
      <c r="AN26">
        <v>-132</v>
      </c>
      <c r="AP26">
        <v>-544</v>
      </c>
      <c r="AQ26">
        <v>-193</v>
      </c>
      <c r="AR26">
        <v>-554</v>
      </c>
      <c r="AS26">
        <v>-172</v>
      </c>
      <c r="AT26">
        <v>-584</v>
      </c>
      <c r="AU26">
        <v>-148</v>
      </c>
      <c r="AV26">
        <v>-617</v>
      </c>
      <c r="AW26">
        <v>-213</v>
      </c>
      <c r="AX26">
        <v>-804</v>
      </c>
      <c r="AY26">
        <v>-210</v>
      </c>
      <c r="AZ26">
        <v>-721</v>
      </c>
      <c r="BA26">
        <v>-277</v>
      </c>
      <c r="BB26">
        <v>-692</v>
      </c>
      <c r="BC26">
        <v>-206</v>
      </c>
      <c r="BD26">
        <v>-601</v>
      </c>
      <c r="BE26">
        <v>-149</v>
      </c>
      <c r="BF26">
        <v>-674</v>
      </c>
      <c r="BG26">
        <v>-297</v>
      </c>
      <c r="BH26">
        <v>-978</v>
      </c>
      <c r="BI26">
        <v>-240</v>
      </c>
      <c r="BJ26">
        <v>-943</v>
      </c>
      <c r="BK26">
        <v>-234</v>
      </c>
      <c r="BL26">
        <v>-815</v>
      </c>
      <c r="BM26">
        <v>-168</v>
      </c>
      <c r="BN26">
        <v>-755</v>
      </c>
      <c r="BO26">
        <v>-175</v>
      </c>
      <c r="BP26">
        <v>-745</v>
      </c>
      <c r="BQ26">
        <v>-151</v>
      </c>
      <c r="BR26">
        <v>-656</v>
      </c>
      <c r="BS26">
        <v>-669.5</v>
      </c>
      <c r="BT26">
        <v>-717.8</v>
      </c>
      <c r="BU26">
        <v>-762.5</v>
      </c>
    </row>
    <row r="27" spans="1:73" x14ac:dyDescent="0.3">
      <c r="A27" t="s">
        <v>155</v>
      </c>
      <c r="B27">
        <v>46</v>
      </c>
      <c r="C27">
        <v>30</v>
      </c>
      <c r="D27">
        <v>34</v>
      </c>
      <c r="E27">
        <v>35</v>
      </c>
      <c r="F27">
        <v>175</v>
      </c>
      <c r="J27">
        <v>120</v>
      </c>
      <c r="N27">
        <v>68</v>
      </c>
      <c r="R27">
        <v>55</v>
      </c>
      <c r="V27">
        <v>25</v>
      </c>
      <c r="X27">
        <v>7</v>
      </c>
      <c r="Z27">
        <v>27</v>
      </c>
      <c r="AB27">
        <v>75</v>
      </c>
      <c r="AD27">
        <v>115</v>
      </c>
      <c r="AF27">
        <v>13</v>
      </c>
      <c r="AH27">
        <v>124</v>
      </c>
      <c r="AJ27">
        <v>43</v>
      </c>
      <c r="AL27">
        <v>62</v>
      </c>
      <c r="AN27">
        <v>34</v>
      </c>
      <c r="AP27">
        <v>79</v>
      </c>
      <c r="AQ27">
        <v>28</v>
      </c>
      <c r="AR27">
        <v>39</v>
      </c>
      <c r="AS27">
        <v>9</v>
      </c>
      <c r="AT27">
        <v>61</v>
      </c>
      <c r="AU27">
        <v>38</v>
      </c>
      <c r="AV27">
        <v>45</v>
      </c>
      <c r="AW27">
        <v>20</v>
      </c>
      <c r="AX27">
        <v>56</v>
      </c>
      <c r="AY27">
        <v>20</v>
      </c>
      <c r="AZ27">
        <v>173</v>
      </c>
      <c r="BA27">
        <v>10</v>
      </c>
      <c r="BB27">
        <v>62</v>
      </c>
      <c r="BC27">
        <v>10</v>
      </c>
      <c r="BD27">
        <v>108</v>
      </c>
      <c r="BE27">
        <v>23</v>
      </c>
      <c r="BF27">
        <v>93</v>
      </c>
      <c r="BG27">
        <v>23</v>
      </c>
      <c r="BH27">
        <v>95</v>
      </c>
      <c r="BI27">
        <v>9</v>
      </c>
      <c r="BJ27">
        <v>38</v>
      </c>
      <c r="BK27">
        <v>8</v>
      </c>
      <c r="BL27">
        <v>34</v>
      </c>
      <c r="BM27">
        <v>13</v>
      </c>
      <c r="BN27">
        <v>44</v>
      </c>
      <c r="BO27">
        <v>19</v>
      </c>
      <c r="BP27">
        <v>31</v>
      </c>
      <c r="BQ27">
        <v>13</v>
      </c>
      <c r="BR27">
        <v>34</v>
      </c>
    </row>
    <row r="28" spans="1:73" x14ac:dyDescent="0.3">
      <c r="A28" t="s">
        <v>49</v>
      </c>
      <c r="B28">
        <v>-114</v>
      </c>
      <c r="C28">
        <v>-85</v>
      </c>
      <c r="D28">
        <v>-850</v>
      </c>
      <c r="E28">
        <v>-152</v>
      </c>
      <c r="F28">
        <v>-278</v>
      </c>
      <c r="J28">
        <v>-4583</v>
      </c>
      <c r="N28">
        <v>-394</v>
      </c>
      <c r="R28">
        <v>-16</v>
      </c>
      <c r="V28">
        <v>-1795</v>
      </c>
      <c r="X28">
        <v>-3</v>
      </c>
      <c r="Z28">
        <v>-3</v>
      </c>
      <c r="AD28">
        <v>-120</v>
      </c>
      <c r="AF28">
        <v>-1</v>
      </c>
      <c r="AH28">
        <v>-102</v>
      </c>
      <c r="AJ28">
        <v>-6</v>
      </c>
      <c r="AL28">
        <v>-15</v>
      </c>
      <c r="AN28">
        <v>-869</v>
      </c>
      <c r="AP28">
        <v>-2125</v>
      </c>
      <c r="AQ28">
        <v>-312</v>
      </c>
      <c r="AR28">
        <v>-383</v>
      </c>
      <c r="AS28">
        <v>-3</v>
      </c>
      <c r="AV28">
        <v>-295</v>
      </c>
      <c r="AX28">
        <v>-12</v>
      </c>
      <c r="AY28">
        <v>-12</v>
      </c>
      <c r="AZ28">
        <v>-16</v>
      </c>
      <c r="BC28">
        <v>-3015</v>
      </c>
      <c r="BD28">
        <v>-3508</v>
      </c>
      <c r="BE28">
        <v>-53</v>
      </c>
      <c r="BF28">
        <v>-57</v>
      </c>
      <c r="BG28">
        <v>-52</v>
      </c>
      <c r="BH28">
        <v>-17734</v>
      </c>
      <c r="BI28">
        <v>-14</v>
      </c>
      <c r="BJ28">
        <v>-32</v>
      </c>
      <c r="BK28">
        <v>-63</v>
      </c>
      <c r="BL28">
        <v>-86</v>
      </c>
      <c r="BM28">
        <v>-3</v>
      </c>
      <c r="BO28">
        <v>-130</v>
      </c>
      <c r="BP28">
        <v>-231</v>
      </c>
      <c r="BQ28">
        <v>-5</v>
      </c>
      <c r="BR28">
        <v>-39</v>
      </c>
    </row>
    <row r="29" spans="1:73" x14ac:dyDescent="0.3">
      <c r="A29" t="s">
        <v>156</v>
      </c>
      <c r="B29">
        <v>112</v>
      </c>
      <c r="C29">
        <v>241</v>
      </c>
      <c r="D29">
        <v>-178</v>
      </c>
      <c r="E29">
        <v>804</v>
      </c>
      <c r="F29">
        <v>2</v>
      </c>
      <c r="J29">
        <v>4706</v>
      </c>
      <c r="N29">
        <v>89</v>
      </c>
      <c r="R29">
        <v>81</v>
      </c>
      <c r="V29">
        <v>-3</v>
      </c>
      <c r="Z29">
        <v>206</v>
      </c>
      <c r="AB29">
        <v>11</v>
      </c>
      <c r="AH29">
        <v>62</v>
      </c>
      <c r="AL29">
        <v>126</v>
      </c>
      <c r="AP29">
        <v>68</v>
      </c>
      <c r="AQ29">
        <v>190</v>
      </c>
      <c r="AR29">
        <v>187</v>
      </c>
      <c r="AS29">
        <v>12</v>
      </c>
      <c r="AT29">
        <v>12</v>
      </c>
      <c r="AV29">
        <v>71</v>
      </c>
      <c r="AW29">
        <v>117</v>
      </c>
      <c r="AX29">
        <v>262</v>
      </c>
      <c r="AY29">
        <v>110</v>
      </c>
      <c r="AZ29">
        <v>189</v>
      </c>
      <c r="BA29">
        <v>93</v>
      </c>
      <c r="BB29">
        <v>94</v>
      </c>
      <c r="BF29">
        <v>23</v>
      </c>
      <c r="BJ29">
        <v>17</v>
      </c>
      <c r="BN29">
        <v>39</v>
      </c>
    </row>
    <row r="30" spans="1:73" x14ac:dyDescent="0.3">
      <c r="A30" t="s">
        <v>182</v>
      </c>
      <c r="X30">
        <v>63</v>
      </c>
      <c r="Z30">
        <v>102</v>
      </c>
      <c r="AB30">
        <v>67</v>
      </c>
      <c r="AD30">
        <v>109</v>
      </c>
      <c r="AF30">
        <v>62</v>
      </c>
      <c r="AH30">
        <v>119</v>
      </c>
      <c r="AJ30">
        <v>49</v>
      </c>
      <c r="AL30">
        <v>114</v>
      </c>
      <c r="AN30">
        <v>63</v>
      </c>
      <c r="AP30">
        <v>125</v>
      </c>
      <c r="AQ30">
        <v>55</v>
      </c>
      <c r="AR30">
        <v>83</v>
      </c>
      <c r="AS30">
        <v>30</v>
      </c>
      <c r="AT30">
        <v>59</v>
      </c>
      <c r="AU30">
        <v>34</v>
      </c>
      <c r="AV30">
        <v>79</v>
      </c>
      <c r="AW30">
        <v>46</v>
      </c>
      <c r="AX30">
        <v>72</v>
      </c>
      <c r="AY30">
        <v>26</v>
      </c>
      <c r="AZ30">
        <v>70</v>
      </c>
      <c r="BA30">
        <v>33</v>
      </c>
      <c r="BB30">
        <v>61</v>
      </c>
      <c r="BC30">
        <v>32</v>
      </c>
      <c r="BD30">
        <v>64</v>
      </c>
      <c r="BE30">
        <v>26</v>
      </c>
      <c r="BF30">
        <v>62</v>
      </c>
      <c r="BG30">
        <v>34</v>
      </c>
      <c r="BH30">
        <v>83</v>
      </c>
      <c r="BI30">
        <v>36</v>
      </c>
      <c r="BJ30">
        <v>52</v>
      </c>
      <c r="BK30">
        <v>33</v>
      </c>
      <c r="BL30">
        <v>80</v>
      </c>
      <c r="BM30">
        <v>27</v>
      </c>
      <c r="BN30">
        <v>48</v>
      </c>
      <c r="BO30">
        <v>14</v>
      </c>
      <c r="BP30">
        <v>33</v>
      </c>
      <c r="BQ30">
        <v>28</v>
      </c>
      <c r="BR30">
        <v>85</v>
      </c>
    </row>
    <row r="31" spans="1:73" x14ac:dyDescent="0.3">
      <c r="A31" t="s">
        <v>177</v>
      </c>
      <c r="Z31">
        <v>81</v>
      </c>
      <c r="AD31">
        <v>193</v>
      </c>
      <c r="AH31">
        <v>259</v>
      </c>
      <c r="AL31">
        <v>285</v>
      </c>
      <c r="AN31">
        <v>1</v>
      </c>
      <c r="AP31">
        <v>326</v>
      </c>
      <c r="AQ31">
        <v>2</v>
      </c>
      <c r="AR31">
        <v>328</v>
      </c>
      <c r="AS31">
        <v>2</v>
      </c>
      <c r="AT31">
        <v>461</v>
      </c>
      <c r="AU31">
        <v>2</v>
      </c>
      <c r="AV31">
        <v>2</v>
      </c>
      <c r="AW31">
        <v>2</v>
      </c>
      <c r="AX31">
        <v>2</v>
      </c>
      <c r="AY31">
        <v>1</v>
      </c>
      <c r="AZ31">
        <v>2</v>
      </c>
      <c r="BA31">
        <v>2</v>
      </c>
      <c r="BB31">
        <v>2</v>
      </c>
    </row>
    <row r="32" spans="1:73" x14ac:dyDescent="0.3">
      <c r="A32" t="s">
        <v>157</v>
      </c>
    </row>
    <row r="33" spans="1:70" x14ac:dyDescent="0.3">
      <c r="A33" t="s">
        <v>158</v>
      </c>
    </row>
    <row r="34" spans="1:70" x14ac:dyDescent="0.3">
      <c r="A34" t="s">
        <v>159</v>
      </c>
      <c r="B34">
        <v>-19</v>
      </c>
      <c r="C34">
        <v>-13</v>
      </c>
      <c r="D34">
        <v>-18</v>
      </c>
      <c r="E34">
        <v>-30</v>
      </c>
      <c r="F34">
        <v>-30</v>
      </c>
      <c r="J34">
        <v>-158</v>
      </c>
      <c r="N34">
        <v>-75</v>
      </c>
      <c r="R34">
        <v>-112</v>
      </c>
      <c r="V34">
        <v>-150</v>
      </c>
      <c r="X34">
        <v>-4</v>
      </c>
      <c r="AF34">
        <v>-25</v>
      </c>
      <c r="AH34">
        <v>-37</v>
      </c>
      <c r="AT34">
        <v>-1</v>
      </c>
      <c r="AZ34">
        <v>-47</v>
      </c>
      <c r="BA34">
        <v>-26</v>
      </c>
      <c r="BB34">
        <v>-31</v>
      </c>
      <c r="BC34">
        <v>-57</v>
      </c>
      <c r="BD34">
        <v>-99</v>
      </c>
      <c r="BE34">
        <v>-75</v>
      </c>
      <c r="BF34">
        <v>-109</v>
      </c>
      <c r="BG34">
        <v>-90</v>
      </c>
      <c r="BH34">
        <v>-170</v>
      </c>
      <c r="BI34">
        <v>-124</v>
      </c>
      <c r="BJ34">
        <v>-320</v>
      </c>
      <c r="BK34">
        <v>-70</v>
      </c>
      <c r="BL34">
        <v>-191</v>
      </c>
      <c r="BM34">
        <v>-183</v>
      </c>
      <c r="BN34">
        <v>-343</v>
      </c>
      <c r="BO34">
        <v>-220</v>
      </c>
      <c r="BP34">
        <v>-369</v>
      </c>
      <c r="BQ34">
        <v>-174</v>
      </c>
      <c r="BR34">
        <v>-257</v>
      </c>
    </row>
    <row r="35" spans="1:70" x14ac:dyDescent="0.3">
      <c r="A35" t="s">
        <v>160</v>
      </c>
      <c r="B35">
        <v>3</v>
      </c>
      <c r="C35">
        <v>18</v>
      </c>
      <c r="D35">
        <v>8</v>
      </c>
      <c r="E35">
        <v>7</v>
      </c>
      <c r="F35">
        <v>2</v>
      </c>
      <c r="J35">
        <v>54</v>
      </c>
      <c r="N35">
        <v>67</v>
      </c>
      <c r="R35">
        <v>44</v>
      </c>
      <c r="V35">
        <v>88</v>
      </c>
      <c r="Z35">
        <v>80</v>
      </c>
      <c r="AB35">
        <v>9</v>
      </c>
      <c r="AD35">
        <v>22</v>
      </c>
      <c r="AJ35">
        <v>37</v>
      </c>
      <c r="AL35">
        <v>71</v>
      </c>
      <c r="AN35">
        <v>15</v>
      </c>
      <c r="AP35">
        <v>9</v>
      </c>
      <c r="AQ35">
        <v>13</v>
      </c>
      <c r="AR35">
        <v>37</v>
      </c>
      <c r="AS35">
        <v>1</v>
      </c>
      <c r="AU35">
        <v>13</v>
      </c>
      <c r="AV35">
        <v>3</v>
      </c>
      <c r="AZ35">
        <v>15</v>
      </c>
      <c r="BA35">
        <v>34</v>
      </c>
      <c r="BB35">
        <v>34</v>
      </c>
      <c r="BD35">
        <v>45</v>
      </c>
      <c r="BE35">
        <v>8</v>
      </c>
      <c r="BF35">
        <v>22</v>
      </c>
      <c r="BG35">
        <v>85</v>
      </c>
      <c r="BH35">
        <v>160</v>
      </c>
      <c r="BI35">
        <v>48</v>
      </c>
      <c r="BJ35">
        <v>167</v>
      </c>
      <c r="BK35">
        <v>118</v>
      </c>
      <c r="BL35">
        <v>339</v>
      </c>
      <c r="BM35">
        <v>97</v>
      </c>
      <c r="BN35">
        <v>184</v>
      </c>
      <c r="BO35">
        <v>101</v>
      </c>
      <c r="BP35">
        <v>141</v>
      </c>
      <c r="BQ35">
        <v>81</v>
      </c>
      <c r="BR35">
        <v>128</v>
      </c>
    </row>
    <row r="36" spans="1:70" x14ac:dyDescent="0.3">
      <c r="A36" t="s">
        <v>161</v>
      </c>
      <c r="B36">
        <v>-275</v>
      </c>
      <c r="C36">
        <v>-400</v>
      </c>
      <c r="D36">
        <v>401</v>
      </c>
      <c r="E36">
        <v>459</v>
      </c>
      <c r="F36">
        <v>-1708</v>
      </c>
      <c r="H36">
        <v>330</v>
      </c>
      <c r="J36">
        <v>726</v>
      </c>
      <c r="L36">
        <v>-47</v>
      </c>
      <c r="N36">
        <v>-322</v>
      </c>
      <c r="P36">
        <v>120</v>
      </c>
      <c r="R36">
        <v>-99</v>
      </c>
      <c r="T36">
        <v>413</v>
      </c>
      <c r="V36">
        <v>-325</v>
      </c>
      <c r="X36">
        <v>-60</v>
      </c>
      <c r="Z36">
        <v>-112</v>
      </c>
      <c r="AW36">
        <v>12</v>
      </c>
      <c r="AX36">
        <v>24</v>
      </c>
      <c r="AY36">
        <v>-19</v>
      </c>
    </row>
    <row r="37" spans="1:70" x14ac:dyDescent="0.3">
      <c r="A37" t="s">
        <v>162</v>
      </c>
      <c r="B37">
        <v>-608</v>
      </c>
      <c r="C37">
        <v>-569</v>
      </c>
      <c r="D37">
        <v>-963</v>
      </c>
      <c r="E37">
        <v>760</v>
      </c>
      <c r="F37">
        <v>-1837</v>
      </c>
      <c r="H37">
        <v>330</v>
      </c>
      <c r="J37">
        <v>503</v>
      </c>
      <c r="L37">
        <v>-47</v>
      </c>
      <c r="N37">
        <v>-1082</v>
      </c>
      <c r="P37">
        <v>120</v>
      </c>
      <c r="R37">
        <v>-537</v>
      </c>
      <c r="T37">
        <v>413</v>
      </c>
      <c r="V37">
        <v>-2588</v>
      </c>
      <c r="X37">
        <v>-103</v>
      </c>
      <c r="Z37">
        <v>48</v>
      </c>
      <c r="AB37">
        <v>40</v>
      </c>
      <c r="AD37">
        <v>-100</v>
      </c>
      <c r="AF37">
        <v>-131</v>
      </c>
      <c r="AH37">
        <v>-58</v>
      </c>
      <c r="AJ37">
        <v>-52</v>
      </c>
      <c r="AL37">
        <v>161</v>
      </c>
      <c r="AN37">
        <v>-888</v>
      </c>
      <c r="AP37">
        <v>-2062</v>
      </c>
      <c r="AQ37">
        <v>-217</v>
      </c>
      <c r="AR37">
        <v>-263</v>
      </c>
      <c r="AS37">
        <v>-121</v>
      </c>
      <c r="AT37">
        <v>8</v>
      </c>
      <c r="AU37">
        <v>-61</v>
      </c>
      <c r="AV37">
        <v>-712</v>
      </c>
      <c r="AW37">
        <v>-16</v>
      </c>
      <c r="AX37">
        <v>-400</v>
      </c>
      <c r="AY37">
        <v>-84</v>
      </c>
      <c r="AZ37">
        <v>-335</v>
      </c>
      <c r="BA37">
        <v>-131</v>
      </c>
      <c r="BB37">
        <v>-470</v>
      </c>
      <c r="BC37">
        <v>-3236</v>
      </c>
      <c r="BD37">
        <v>-3991</v>
      </c>
      <c r="BE37">
        <v>-220</v>
      </c>
      <c r="BF37">
        <v>-640</v>
      </c>
      <c r="BG37">
        <v>-297</v>
      </c>
      <c r="BH37">
        <v>-18544</v>
      </c>
      <c r="BI37">
        <v>-285</v>
      </c>
      <c r="BJ37">
        <v>-1021</v>
      </c>
      <c r="BK37">
        <v>-208</v>
      </c>
      <c r="BL37">
        <v>-639</v>
      </c>
      <c r="BM37">
        <v>-217</v>
      </c>
      <c r="BN37">
        <v>-783</v>
      </c>
      <c r="BO37">
        <v>-391</v>
      </c>
      <c r="BP37">
        <v>-1140</v>
      </c>
      <c r="BQ37">
        <v>-208</v>
      </c>
      <c r="BR37">
        <v>-705</v>
      </c>
    </row>
    <row r="38" spans="1:70" x14ac:dyDescent="0.3">
      <c r="A38" t="s">
        <v>163</v>
      </c>
      <c r="B38">
        <v>9</v>
      </c>
      <c r="C38">
        <v>13</v>
      </c>
      <c r="D38">
        <v>19</v>
      </c>
      <c r="E38">
        <v>42</v>
      </c>
      <c r="F38">
        <v>3</v>
      </c>
      <c r="H38">
        <v>2</v>
      </c>
      <c r="J38">
        <v>3</v>
      </c>
      <c r="L38">
        <v>3</v>
      </c>
      <c r="N38">
        <v>3</v>
      </c>
      <c r="P38">
        <v>4</v>
      </c>
      <c r="R38">
        <v>6</v>
      </c>
      <c r="T38">
        <v>4</v>
      </c>
      <c r="V38">
        <v>5</v>
      </c>
      <c r="X38">
        <v>19</v>
      </c>
      <c r="Z38">
        <v>4</v>
      </c>
      <c r="AB38">
        <v>23</v>
      </c>
      <c r="AD38">
        <v>30</v>
      </c>
      <c r="AF38">
        <v>20</v>
      </c>
      <c r="AH38">
        <v>28</v>
      </c>
      <c r="AJ38">
        <v>19</v>
      </c>
      <c r="AL38">
        <v>27</v>
      </c>
      <c r="AN38">
        <v>7</v>
      </c>
      <c r="AP38">
        <v>10</v>
      </c>
      <c r="AQ38">
        <v>4</v>
      </c>
      <c r="AR38">
        <v>7</v>
      </c>
      <c r="AS38">
        <v>6</v>
      </c>
      <c r="AT38">
        <v>7</v>
      </c>
      <c r="AU38">
        <v>5</v>
      </c>
      <c r="AV38">
        <v>5</v>
      </c>
      <c r="AW38">
        <v>5</v>
      </c>
      <c r="AX38">
        <v>5</v>
      </c>
      <c r="AY38">
        <v>4</v>
      </c>
      <c r="AZ38">
        <v>4</v>
      </c>
      <c r="BA38">
        <v>4</v>
      </c>
      <c r="BB38">
        <v>5</v>
      </c>
      <c r="BC38">
        <v>3</v>
      </c>
    </row>
    <row r="39" spans="1:70" x14ac:dyDescent="0.3">
      <c r="A39" t="s">
        <v>51</v>
      </c>
      <c r="H39">
        <v>-695</v>
      </c>
      <c r="J39">
        <v>-695</v>
      </c>
      <c r="T39">
        <v>-316</v>
      </c>
      <c r="V39">
        <v>-698</v>
      </c>
      <c r="X39">
        <v>-348</v>
      </c>
      <c r="Z39">
        <v>-536</v>
      </c>
      <c r="AB39">
        <v>-311</v>
      </c>
      <c r="AD39">
        <v>-549</v>
      </c>
      <c r="AF39">
        <v>-316</v>
      </c>
      <c r="AH39">
        <v>-577</v>
      </c>
      <c r="AJ39">
        <v>-387</v>
      </c>
      <c r="AL39">
        <v>-791</v>
      </c>
      <c r="AN39">
        <v>-234</v>
      </c>
      <c r="AP39">
        <v>-516</v>
      </c>
      <c r="AQ39">
        <v>-92</v>
      </c>
      <c r="AR39">
        <v>-94</v>
      </c>
      <c r="AS39">
        <v>-62</v>
      </c>
      <c r="AT39">
        <v>-66</v>
      </c>
      <c r="AU39">
        <v>-439</v>
      </c>
      <c r="AV39">
        <v>-878</v>
      </c>
      <c r="AW39">
        <v>-657</v>
      </c>
      <c r="AX39">
        <v>-1379</v>
      </c>
      <c r="AY39">
        <v>-687</v>
      </c>
      <c r="AZ39">
        <v>-1583</v>
      </c>
      <c r="BA39">
        <v>-664</v>
      </c>
      <c r="BB39">
        <v>-849</v>
      </c>
      <c r="BC39">
        <v>-46</v>
      </c>
      <c r="BD39">
        <v>-46</v>
      </c>
      <c r="BE39">
        <v>-65</v>
      </c>
      <c r="BF39">
        <v>-64</v>
      </c>
      <c r="BG39">
        <v>-215</v>
      </c>
      <c r="BH39">
        <v>-205</v>
      </c>
      <c r="BI39">
        <v>-143</v>
      </c>
      <c r="BJ39">
        <v>-139</v>
      </c>
      <c r="BK39">
        <v>-117</v>
      </c>
      <c r="BL39">
        <v>-117</v>
      </c>
      <c r="BM39">
        <v>-17</v>
      </c>
      <c r="BN39">
        <v>-18</v>
      </c>
      <c r="BO39">
        <v>-82</v>
      </c>
      <c r="BP39">
        <v>-82</v>
      </c>
      <c r="BQ39">
        <v>-1336</v>
      </c>
      <c r="BR39">
        <v>-2092</v>
      </c>
    </row>
    <row r="40" spans="1:70" x14ac:dyDescent="0.3">
      <c r="A40" t="s">
        <v>164</v>
      </c>
      <c r="B40">
        <v>692</v>
      </c>
      <c r="C40">
        <v>208</v>
      </c>
      <c r="D40">
        <v>1061</v>
      </c>
      <c r="E40">
        <v>1136</v>
      </c>
      <c r="F40">
        <v>2920</v>
      </c>
      <c r="H40">
        <v>327</v>
      </c>
      <c r="L40">
        <v>27</v>
      </c>
      <c r="N40">
        <v>777</v>
      </c>
      <c r="R40">
        <v>83</v>
      </c>
      <c r="V40">
        <v>2550</v>
      </c>
      <c r="X40">
        <v>845</v>
      </c>
      <c r="Z40">
        <v>902</v>
      </c>
      <c r="AB40">
        <v>590</v>
      </c>
      <c r="AD40">
        <v>742</v>
      </c>
      <c r="AF40">
        <v>1642</v>
      </c>
      <c r="AH40">
        <v>1365</v>
      </c>
      <c r="AJ40">
        <v>445</v>
      </c>
      <c r="AL40">
        <v>438</v>
      </c>
      <c r="AN40">
        <v>2727</v>
      </c>
      <c r="AP40">
        <v>3518</v>
      </c>
      <c r="AQ40">
        <v>696</v>
      </c>
      <c r="AR40">
        <v>1447</v>
      </c>
      <c r="AS40">
        <v>820</v>
      </c>
      <c r="AT40">
        <v>892</v>
      </c>
      <c r="AU40">
        <v>1265</v>
      </c>
      <c r="AV40">
        <v>1361</v>
      </c>
      <c r="AW40">
        <v>2601</v>
      </c>
      <c r="AX40">
        <v>2539</v>
      </c>
      <c r="AY40">
        <v>1486</v>
      </c>
      <c r="AZ40">
        <v>2428</v>
      </c>
      <c r="BA40">
        <v>1503</v>
      </c>
      <c r="BB40">
        <v>1967</v>
      </c>
      <c r="BC40">
        <v>5736</v>
      </c>
      <c r="BD40">
        <v>6931</v>
      </c>
      <c r="BE40">
        <v>2327</v>
      </c>
      <c r="BF40">
        <v>3476</v>
      </c>
      <c r="BG40">
        <v>3839</v>
      </c>
      <c r="BH40">
        <v>40937</v>
      </c>
      <c r="BI40">
        <v>1650</v>
      </c>
      <c r="BJ40">
        <v>2111</v>
      </c>
      <c r="BK40">
        <v>2917</v>
      </c>
      <c r="BL40">
        <v>4247</v>
      </c>
      <c r="BM40">
        <v>5204</v>
      </c>
      <c r="BN40">
        <v>9826</v>
      </c>
      <c r="BO40">
        <v>2986</v>
      </c>
      <c r="BP40">
        <v>2659</v>
      </c>
      <c r="BQ40">
        <v>3162</v>
      </c>
      <c r="BR40">
        <v>3267</v>
      </c>
    </row>
    <row r="41" spans="1:70" x14ac:dyDescent="0.3">
      <c r="A41" t="s">
        <v>165</v>
      </c>
      <c r="B41">
        <v>-711</v>
      </c>
      <c r="C41">
        <v>-66</v>
      </c>
      <c r="D41">
        <v>-267</v>
      </c>
      <c r="E41">
        <v>-1960</v>
      </c>
      <c r="F41">
        <v>-2067</v>
      </c>
      <c r="J41">
        <v>-915</v>
      </c>
      <c r="N41">
        <v>-704</v>
      </c>
      <c r="P41">
        <v>-470</v>
      </c>
      <c r="R41">
        <v>-710</v>
      </c>
      <c r="T41">
        <v>-13</v>
      </c>
      <c r="V41">
        <v>-323</v>
      </c>
      <c r="X41">
        <v>-1091</v>
      </c>
      <c r="Z41">
        <v>-1280</v>
      </c>
      <c r="AB41">
        <v>-282</v>
      </c>
      <c r="AD41">
        <v>-878</v>
      </c>
      <c r="AF41">
        <v>-862</v>
      </c>
      <c r="AH41">
        <v>-1739</v>
      </c>
      <c r="AJ41">
        <v>-300</v>
      </c>
      <c r="AL41">
        <v>-427</v>
      </c>
      <c r="AN41">
        <v>-372</v>
      </c>
      <c r="AP41">
        <v>-731</v>
      </c>
      <c r="AQ41">
        <v>-948</v>
      </c>
      <c r="AR41">
        <v>-1853</v>
      </c>
      <c r="AS41">
        <v>-704</v>
      </c>
      <c r="AT41">
        <v>-1582</v>
      </c>
      <c r="AU41">
        <v>-820</v>
      </c>
      <c r="AV41">
        <v>-1304</v>
      </c>
      <c r="AW41">
        <v>-1475</v>
      </c>
      <c r="AX41">
        <v>-1821</v>
      </c>
      <c r="AY41">
        <v>-238</v>
      </c>
      <c r="AZ41">
        <v>-1421</v>
      </c>
      <c r="BA41">
        <v>-160</v>
      </c>
      <c r="BB41">
        <v>-1300</v>
      </c>
      <c r="BC41">
        <v>-1884</v>
      </c>
      <c r="BD41">
        <v>-2028</v>
      </c>
      <c r="BE41">
        <v>-1013</v>
      </c>
      <c r="BF41">
        <v>-3840</v>
      </c>
      <c r="BG41">
        <v>-2365</v>
      </c>
      <c r="BH41">
        <v>-20827</v>
      </c>
      <c r="BI41">
        <v>-3067</v>
      </c>
      <c r="BJ41">
        <v>-5586</v>
      </c>
      <c r="BK41">
        <v>-1480</v>
      </c>
      <c r="BL41">
        <v>-5640</v>
      </c>
      <c r="BM41">
        <v>-2811</v>
      </c>
      <c r="BN41">
        <v>-10633</v>
      </c>
      <c r="BO41">
        <v>-1153</v>
      </c>
      <c r="BP41">
        <v>-4843</v>
      </c>
      <c r="BQ41">
        <v>-1087</v>
      </c>
      <c r="BR41">
        <v>-3044</v>
      </c>
    </row>
    <row r="42" spans="1:70" x14ac:dyDescent="0.3">
      <c r="A42" t="s">
        <v>166</v>
      </c>
      <c r="H42">
        <v>-387</v>
      </c>
      <c r="L42">
        <v>-430</v>
      </c>
      <c r="P42">
        <v>-479</v>
      </c>
      <c r="T42">
        <v>-526</v>
      </c>
      <c r="X42">
        <v>-643</v>
      </c>
      <c r="AB42">
        <v>-696</v>
      </c>
      <c r="AF42">
        <v>-771</v>
      </c>
      <c r="AJ42">
        <v>-821</v>
      </c>
      <c r="AN42">
        <v>-954</v>
      </c>
      <c r="AQ42">
        <v>-1241</v>
      </c>
      <c r="AS42">
        <v>-1431</v>
      </c>
      <c r="AU42">
        <v>-1620</v>
      </c>
      <c r="BN42">
        <v>-4745</v>
      </c>
      <c r="BO42">
        <v>-2443</v>
      </c>
      <c r="BP42">
        <v>-4904</v>
      </c>
      <c r="BQ42">
        <v>-2476</v>
      </c>
      <c r="BR42">
        <v>-4915</v>
      </c>
    </row>
    <row r="43" spans="1:70" x14ac:dyDescent="0.3">
      <c r="A43" t="s">
        <v>167</v>
      </c>
    </row>
    <row r="44" spans="1:70" x14ac:dyDescent="0.3">
      <c r="A44" t="s">
        <v>168</v>
      </c>
      <c r="H44">
        <v>-387</v>
      </c>
      <c r="L44">
        <v>-430</v>
      </c>
      <c r="P44">
        <v>-479</v>
      </c>
      <c r="T44">
        <v>-526</v>
      </c>
      <c r="X44">
        <v>-643</v>
      </c>
      <c r="Z44">
        <v>-856</v>
      </c>
      <c r="AB44">
        <v>-696</v>
      </c>
      <c r="AD44">
        <v>-910</v>
      </c>
      <c r="AF44">
        <v>-771</v>
      </c>
      <c r="AH44">
        <v>-1008</v>
      </c>
      <c r="AJ44">
        <v>-821</v>
      </c>
      <c r="AL44">
        <v>-1198</v>
      </c>
      <c r="AN44">
        <v>-954</v>
      </c>
      <c r="AP44">
        <v>-1393</v>
      </c>
      <c r="AQ44">
        <v>-1241</v>
      </c>
      <c r="AR44">
        <v>-1798</v>
      </c>
      <c r="AS44">
        <v>-1431</v>
      </c>
      <c r="AT44">
        <v>-2093</v>
      </c>
      <c r="AU44">
        <v>-1620</v>
      </c>
      <c r="AV44">
        <v>-2358</v>
      </c>
      <c r="AW44">
        <v>-1723</v>
      </c>
      <c r="AX44">
        <v>-2538</v>
      </c>
      <c r="AY44">
        <v>-1765</v>
      </c>
      <c r="AZ44">
        <v>-2611</v>
      </c>
      <c r="BA44">
        <v>-1831</v>
      </c>
      <c r="BB44">
        <v>-2712</v>
      </c>
      <c r="BC44">
        <v>-1862</v>
      </c>
      <c r="BD44">
        <v>-2770</v>
      </c>
      <c r="BE44">
        <v>-1950</v>
      </c>
      <c r="BF44">
        <v>-2910</v>
      </c>
      <c r="BG44">
        <v>-2179</v>
      </c>
      <c r="BH44">
        <v>-3465</v>
      </c>
      <c r="BI44">
        <v>-2114</v>
      </c>
      <c r="BJ44">
        <v>-4347</v>
      </c>
      <c r="BK44">
        <v>-2277</v>
      </c>
      <c r="BL44">
        <v>-4598</v>
      </c>
      <c r="BM44">
        <v>-2346</v>
      </c>
      <c r="BN44">
        <v>-4745</v>
      </c>
      <c r="BO44">
        <v>-2443</v>
      </c>
      <c r="BP44">
        <v>-4904</v>
      </c>
      <c r="BQ44">
        <v>-2476</v>
      </c>
      <c r="BR44">
        <v>-4915</v>
      </c>
    </row>
    <row r="45" spans="1:70" x14ac:dyDescent="0.3">
      <c r="A45" t="s">
        <v>285</v>
      </c>
      <c r="BC45">
        <v>13</v>
      </c>
    </row>
    <row r="46" spans="1:70" x14ac:dyDescent="0.3">
      <c r="A46" t="s">
        <v>178</v>
      </c>
      <c r="AV46">
        <v>-13</v>
      </c>
      <c r="AW46">
        <v>-3</v>
      </c>
      <c r="AX46">
        <v>-5</v>
      </c>
      <c r="AY46">
        <v>-2</v>
      </c>
      <c r="AZ46">
        <v>-2</v>
      </c>
      <c r="BA46">
        <v>-1</v>
      </c>
      <c r="BB46">
        <v>-2</v>
      </c>
      <c r="BH46">
        <v>-7</v>
      </c>
      <c r="BJ46">
        <v>-10</v>
      </c>
      <c r="BK46">
        <v>-68</v>
      </c>
      <c r="BL46">
        <v>-154</v>
      </c>
      <c r="BM46">
        <v>-76</v>
      </c>
      <c r="BN46">
        <v>-164</v>
      </c>
      <c r="BO46">
        <v>-72</v>
      </c>
      <c r="BP46">
        <v>-154</v>
      </c>
      <c r="BQ46">
        <v>-71</v>
      </c>
      <c r="BR46">
        <v>-161</v>
      </c>
    </row>
    <row r="47" spans="1:70" x14ac:dyDescent="0.3">
      <c r="A47" t="s">
        <v>181</v>
      </c>
      <c r="AJ47">
        <v>-83</v>
      </c>
      <c r="AN47">
        <v>-79</v>
      </c>
      <c r="AQ47">
        <v>-112</v>
      </c>
      <c r="AS47">
        <v>-107</v>
      </c>
      <c r="AU47">
        <v>-139</v>
      </c>
      <c r="AV47">
        <v>-275</v>
      </c>
      <c r="AW47">
        <v>-135</v>
      </c>
      <c r="AX47">
        <v>-259</v>
      </c>
      <c r="AY47">
        <v>-154</v>
      </c>
      <c r="AZ47">
        <v>-265</v>
      </c>
      <c r="BA47">
        <v>-143</v>
      </c>
      <c r="BB47">
        <v>-249</v>
      </c>
      <c r="BC47">
        <v>-140</v>
      </c>
      <c r="BD47">
        <v>-235</v>
      </c>
      <c r="BE47">
        <v>-94</v>
      </c>
      <c r="BF47">
        <v>-147</v>
      </c>
      <c r="BG47">
        <v>-106</v>
      </c>
      <c r="BH47">
        <v>-167</v>
      </c>
      <c r="BI47">
        <v>-96</v>
      </c>
      <c r="BJ47">
        <v>-142</v>
      </c>
      <c r="BK47">
        <v>-88</v>
      </c>
      <c r="BL47">
        <v>-157</v>
      </c>
      <c r="BM47">
        <v>-70</v>
      </c>
      <c r="BN47">
        <v>-136</v>
      </c>
      <c r="BO47">
        <v>-81</v>
      </c>
      <c r="BP47">
        <v>-150</v>
      </c>
      <c r="BQ47">
        <v>-80</v>
      </c>
      <c r="BR47">
        <v>-158</v>
      </c>
    </row>
    <row r="48" spans="1:70" x14ac:dyDescent="0.3">
      <c r="A48" t="s">
        <v>50</v>
      </c>
      <c r="AV48">
        <v>-580</v>
      </c>
      <c r="AW48">
        <v>-291</v>
      </c>
      <c r="AX48">
        <v>-565</v>
      </c>
      <c r="AY48">
        <v>-274</v>
      </c>
      <c r="AZ48">
        <v>-571</v>
      </c>
      <c r="BA48">
        <v>-333</v>
      </c>
      <c r="BB48">
        <v>-571</v>
      </c>
      <c r="BC48">
        <v>-266</v>
      </c>
      <c r="BD48">
        <v>-596</v>
      </c>
      <c r="BE48">
        <v>-316</v>
      </c>
      <c r="BF48">
        <v>-641</v>
      </c>
      <c r="BG48">
        <v>-379</v>
      </c>
      <c r="BH48">
        <v>-1107</v>
      </c>
      <c r="BI48">
        <v>-752</v>
      </c>
      <c r="BJ48">
        <v>-1559</v>
      </c>
      <c r="BK48">
        <v>-789</v>
      </c>
      <c r="BL48">
        <v>-1633</v>
      </c>
      <c r="BM48">
        <v>-855</v>
      </c>
      <c r="BN48">
        <v>-1763</v>
      </c>
      <c r="BO48">
        <v>-764</v>
      </c>
      <c r="BP48">
        <v>-1508</v>
      </c>
      <c r="BQ48">
        <v>-757</v>
      </c>
      <c r="BR48">
        <v>-1663</v>
      </c>
    </row>
    <row r="49" spans="1:73" x14ac:dyDescent="0.3">
      <c r="A49" t="s">
        <v>169</v>
      </c>
      <c r="B49">
        <v>-12</v>
      </c>
      <c r="C49">
        <v>-25</v>
      </c>
      <c r="D49">
        <v>-18</v>
      </c>
      <c r="E49">
        <v>-21</v>
      </c>
      <c r="H49">
        <v>387</v>
      </c>
      <c r="L49">
        <v>430</v>
      </c>
      <c r="N49">
        <v>-36</v>
      </c>
      <c r="P49">
        <v>479</v>
      </c>
      <c r="R49">
        <v>-32</v>
      </c>
      <c r="T49">
        <v>526</v>
      </c>
      <c r="V49">
        <v>-27</v>
      </c>
      <c r="X49">
        <v>659</v>
      </c>
      <c r="Z49">
        <v>-805</v>
      </c>
      <c r="AB49">
        <v>-42</v>
      </c>
      <c r="AD49">
        <v>-1117</v>
      </c>
      <c r="AF49">
        <v>40</v>
      </c>
      <c r="AH49">
        <v>-1024</v>
      </c>
      <c r="AJ49">
        <v>-24</v>
      </c>
      <c r="AL49">
        <v>-1481</v>
      </c>
      <c r="AN49">
        <v>-315</v>
      </c>
      <c r="AP49">
        <v>-2252</v>
      </c>
      <c r="AQ49">
        <v>-105</v>
      </c>
      <c r="AR49">
        <v>-2334</v>
      </c>
      <c r="AS49">
        <v>-210</v>
      </c>
      <c r="AT49">
        <v>-2535</v>
      </c>
      <c r="AU49">
        <v>-71</v>
      </c>
      <c r="AV49">
        <v>-2363</v>
      </c>
      <c r="AW49">
        <v>-1754</v>
      </c>
      <c r="AX49">
        <v>-2469</v>
      </c>
      <c r="AY49">
        <v>-1841</v>
      </c>
      <c r="AZ49">
        <v>-2557</v>
      </c>
      <c r="BA49">
        <v>-1717</v>
      </c>
      <c r="BB49">
        <v>-2468</v>
      </c>
      <c r="BC49">
        <v>-1772</v>
      </c>
      <c r="BD49">
        <v>-4245</v>
      </c>
      <c r="BE49">
        <v>-1890</v>
      </c>
      <c r="BF49">
        <v>-3013</v>
      </c>
      <c r="BG49">
        <v>-2285</v>
      </c>
      <c r="BH49">
        <v>-3865</v>
      </c>
      <c r="BI49">
        <v>-2085</v>
      </c>
      <c r="BJ49">
        <v>-4305</v>
      </c>
      <c r="BK49">
        <v>-2343</v>
      </c>
      <c r="BL49">
        <v>-5139</v>
      </c>
      <c r="BM49">
        <v>-2337</v>
      </c>
      <c r="BN49">
        <v>-264</v>
      </c>
      <c r="BO49">
        <v>-171</v>
      </c>
      <c r="BP49">
        <v>233</v>
      </c>
      <c r="BQ49">
        <v>256</v>
      </c>
      <c r="BR49">
        <v>-112</v>
      </c>
    </row>
    <row r="50" spans="1:73" x14ac:dyDescent="0.3">
      <c r="A50" t="s">
        <v>170</v>
      </c>
      <c r="B50">
        <v>-22</v>
      </c>
      <c r="C50">
        <v>130</v>
      </c>
      <c r="D50">
        <v>795</v>
      </c>
      <c r="E50">
        <v>-803</v>
      </c>
      <c r="F50">
        <v>856</v>
      </c>
      <c r="H50">
        <v>-366</v>
      </c>
      <c r="J50">
        <v>-1607</v>
      </c>
      <c r="L50">
        <v>30</v>
      </c>
      <c r="N50">
        <v>40</v>
      </c>
      <c r="P50">
        <v>-466</v>
      </c>
      <c r="R50">
        <v>-653</v>
      </c>
      <c r="T50">
        <v>-325</v>
      </c>
      <c r="V50">
        <v>1507</v>
      </c>
      <c r="X50">
        <v>-559</v>
      </c>
      <c r="Z50">
        <v>-1715</v>
      </c>
      <c r="AB50">
        <v>-718</v>
      </c>
      <c r="AD50">
        <v>-1772</v>
      </c>
      <c r="AF50">
        <v>-247</v>
      </c>
      <c r="AH50">
        <v>-1947</v>
      </c>
      <c r="AJ50">
        <v>-1151</v>
      </c>
      <c r="AL50">
        <v>-2234</v>
      </c>
      <c r="AN50">
        <v>780</v>
      </c>
      <c r="AP50">
        <v>29</v>
      </c>
      <c r="AQ50">
        <v>-1798</v>
      </c>
      <c r="AR50">
        <v>-2827</v>
      </c>
      <c r="AS50">
        <v>-1688</v>
      </c>
      <c r="AT50">
        <v>-3284</v>
      </c>
      <c r="AU50">
        <v>-1819</v>
      </c>
      <c r="AV50">
        <v>-4047</v>
      </c>
      <c r="AW50">
        <v>-1709</v>
      </c>
      <c r="AX50">
        <v>-3954</v>
      </c>
      <c r="AY50">
        <v>-1706</v>
      </c>
      <c r="AZ50">
        <v>-3967</v>
      </c>
      <c r="BA50">
        <v>-1511</v>
      </c>
      <c r="BB50">
        <v>-3467</v>
      </c>
      <c r="BC50">
        <v>1644</v>
      </c>
      <c r="BD50">
        <v>-219</v>
      </c>
      <c r="BE50">
        <v>-1051</v>
      </c>
      <c r="BF50">
        <v>-4229</v>
      </c>
      <c r="BG50">
        <v>-1511</v>
      </c>
      <c r="BH50">
        <v>14759</v>
      </c>
      <c r="BI50">
        <v>-4493</v>
      </c>
      <c r="BJ50">
        <v>-9630</v>
      </c>
      <c r="BK50">
        <v>-1968</v>
      </c>
      <c r="BL50">
        <v>-8593</v>
      </c>
      <c r="BM50">
        <v>-962</v>
      </c>
      <c r="BN50">
        <v>-7897</v>
      </c>
      <c r="BO50">
        <v>-1780</v>
      </c>
      <c r="BP50">
        <v>-8749</v>
      </c>
      <c r="BQ50">
        <v>-2389</v>
      </c>
      <c r="BR50">
        <v>-8878</v>
      </c>
    </row>
    <row r="51" spans="1:73" x14ac:dyDescent="0.3">
      <c r="A51" t="s">
        <v>171</v>
      </c>
      <c r="B51">
        <v>-84</v>
      </c>
      <c r="C51">
        <v>36</v>
      </c>
      <c r="D51">
        <v>179</v>
      </c>
      <c r="E51">
        <v>122</v>
      </c>
      <c r="F51">
        <v>34</v>
      </c>
      <c r="G51">
        <v>259</v>
      </c>
      <c r="H51">
        <v>37</v>
      </c>
      <c r="I51">
        <v>1451</v>
      </c>
      <c r="J51">
        <v>-24</v>
      </c>
      <c r="K51">
        <v>558</v>
      </c>
      <c r="L51">
        <v>26</v>
      </c>
      <c r="M51">
        <v>1797</v>
      </c>
      <c r="N51">
        <v>193</v>
      </c>
      <c r="O51">
        <v>496</v>
      </c>
      <c r="P51">
        <v>-207</v>
      </c>
      <c r="Q51">
        <v>1866</v>
      </c>
      <c r="R51">
        <v>-223</v>
      </c>
      <c r="S51">
        <v>484</v>
      </c>
      <c r="T51">
        <v>12</v>
      </c>
      <c r="U51">
        <v>1505</v>
      </c>
      <c r="V51">
        <v>126</v>
      </c>
      <c r="W51">
        <v>604</v>
      </c>
      <c r="X51">
        <v>-505</v>
      </c>
      <c r="Y51">
        <v>3321</v>
      </c>
      <c r="Z51">
        <v>-329</v>
      </c>
      <c r="AA51">
        <v>582</v>
      </c>
      <c r="AB51">
        <v>30</v>
      </c>
      <c r="AD51">
        <v>-66</v>
      </c>
      <c r="AF51">
        <v>158</v>
      </c>
      <c r="AH51">
        <v>-388</v>
      </c>
      <c r="AJ51">
        <v>-247</v>
      </c>
      <c r="AL51">
        <v>-96</v>
      </c>
      <c r="AN51">
        <v>1071</v>
      </c>
      <c r="AP51">
        <v>1040</v>
      </c>
      <c r="AQ51">
        <v>-1181</v>
      </c>
      <c r="AR51">
        <v>-241</v>
      </c>
      <c r="AS51">
        <v>-607</v>
      </c>
      <c r="AT51">
        <v>204</v>
      </c>
      <c r="AU51">
        <v>-686</v>
      </c>
      <c r="AV51">
        <v>-193</v>
      </c>
      <c r="AW51">
        <v>-543</v>
      </c>
      <c r="AX51">
        <v>73</v>
      </c>
      <c r="AY51">
        <v>-471</v>
      </c>
      <c r="AZ51">
        <v>134</v>
      </c>
      <c r="BA51">
        <v>-472</v>
      </c>
      <c r="BB51">
        <v>-221</v>
      </c>
      <c r="BC51">
        <v>-237</v>
      </c>
      <c r="BD51">
        <v>510</v>
      </c>
      <c r="BE51">
        <v>-217</v>
      </c>
      <c r="BF51">
        <v>-259</v>
      </c>
      <c r="BG51">
        <v>-102</v>
      </c>
      <c r="BH51">
        <v>1562</v>
      </c>
      <c r="BI51">
        <v>-920</v>
      </c>
      <c r="BJ51">
        <v>-356</v>
      </c>
      <c r="BK51">
        <v>112</v>
      </c>
      <c r="BL51">
        <v>-236</v>
      </c>
      <c r="BM51">
        <v>2305</v>
      </c>
      <c r="BN51">
        <v>1106</v>
      </c>
      <c r="BO51">
        <v>83</v>
      </c>
      <c r="BP51">
        <v>-172</v>
      </c>
      <c r="BQ51">
        <v>624</v>
      </c>
      <c r="BR51">
        <v>811</v>
      </c>
    </row>
    <row r="52" spans="1:73" x14ac:dyDescent="0.3">
      <c r="A52" t="s">
        <v>172</v>
      </c>
    </row>
    <row r="53" spans="1:73" x14ac:dyDescent="0.3">
      <c r="A53" t="s">
        <v>173</v>
      </c>
      <c r="B53">
        <v>303</v>
      </c>
      <c r="C53">
        <v>253</v>
      </c>
      <c r="D53">
        <v>-2231</v>
      </c>
      <c r="E53">
        <v>-602</v>
      </c>
      <c r="F53">
        <v>1677</v>
      </c>
      <c r="H53">
        <v>-3055</v>
      </c>
      <c r="J53">
        <v>884</v>
      </c>
      <c r="L53">
        <v>-4263</v>
      </c>
      <c r="N53">
        <v>598</v>
      </c>
      <c r="P53">
        <v>-3851</v>
      </c>
      <c r="R53">
        <v>1568</v>
      </c>
      <c r="T53">
        <v>-3379</v>
      </c>
      <c r="V53">
        <v>-3379</v>
      </c>
      <c r="X53">
        <v>2059</v>
      </c>
      <c r="Z53">
        <v>1254</v>
      </c>
      <c r="AB53">
        <v>1730</v>
      </c>
      <c r="AD53">
        <v>1730</v>
      </c>
      <c r="AF53">
        <v>1664</v>
      </c>
      <c r="AH53">
        <v>1664</v>
      </c>
      <c r="AJ53">
        <v>1276</v>
      </c>
      <c r="AL53">
        <v>1276</v>
      </c>
      <c r="AN53">
        <v>1180</v>
      </c>
      <c r="AP53">
        <v>1180</v>
      </c>
      <c r="AQ53">
        <v>2220</v>
      </c>
      <c r="AR53">
        <v>2220</v>
      </c>
      <c r="AS53">
        <v>1979</v>
      </c>
      <c r="AT53">
        <v>1979</v>
      </c>
      <c r="AU53">
        <v>2183</v>
      </c>
      <c r="AV53">
        <v>2183</v>
      </c>
      <c r="AW53">
        <v>1942</v>
      </c>
      <c r="AX53">
        <v>1942</v>
      </c>
      <c r="AY53">
        <v>1839</v>
      </c>
      <c r="AZ53">
        <v>1839</v>
      </c>
      <c r="BA53">
        <v>1776</v>
      </c>
      <c r="BB53">
        <v>1776</v>
      </c>
      <c r="BC53">
        <v>1492</v>
      </c>
      <c r="BD53">
        <v>1492</v>
      </c>
      <c r="BE53">
        <v>1730</v>
      </c>
      <c r="BF53">
        <v>1730</v>
      </c>
      <c r="BG53">
        <v>1651</v>
      </c>
      <c r="BH53">
        <v>1651</v>
      </c>
      <c r="BI53">
        <v>2822</v>
      </c>
      <c r="BJ53">
        <v>2822</v>
      </c>
      <c r="BK53">
        <v>2328</v>
      </c>
      <c r="BL53">
        <v>2328</v>
      </c>
      <c r="BM53">
        <v>2035</v>
      </c>
      <c r="BN53">
        <v>2035</v>
      </c>
      <c r="BO53">
        <v>2888</v>
      </c>
      <c r="BP53">
        <v>2888</v>
      </c>
      <c r="BQ53">
        <v>2463</v>
      </c>
      <c r="BR53">
        <v>2463</v>
      </c>
    </row>
    <row r="54" spans="1:73" x14ac:dyDescent="0.3">
      <c r="A54" t="s">
        <v>171</v>
      </c>
      <c r="B54">
        <v>-84</v>
      </c>
      <c r="C54">
        <v>36</v>
      </c>
      <c r="D54">
        <v>179</v>
      </c>
      <c r="E54">
        <v>122</v>
      </c>
      <c r="F54">
        <v>34</v>
      </c>
      <c r="G54">
        <v>259</v>
      </c>
      <c r="H54">
        <v>37</v>
      </c>
      <c r="I54">
        <v>1451</v>
      </c>
      <c r="J54">
        <v>-24</v>
      </c>
      <c r="K54">
        <v>558</v>
      </c>
      <c r="L54">
        <v>26</v>
      </c>
      <c r="M54">
        <v>1797</v>
      </c>
      <c r="N54">
        <v>193</v>
      </c>
      <c r="O54">
        <v>496</v>
      </c>
      <c r="P54">
        <v>-207</v>
      </c>
      <c r="Q54">
        <v>1866</v>
      </c>
      <c r="R54">
        <v>-223</v>
      </c>
      <c r="S54">
        <v>484</v>
      </c>
      <c r="T54">
        <v>12</v>
      </c>
      <c r="U54">
        <v>1505</v>
      </c>
      <c r="V54">
        <v>126</v>
      </c>
      <c r="W54">
        <v>604</v>
      </c>
      <c r="X54">
        <v>-505</v>
      </c>
      <c r="Y54">
        <v>3321</v>
      </c>
      <c r="Z54">
        <v>-329</v>
      </c>
      <c r="AA54">
        <v>582</v>
      </c>
      <c r="AB54">
        <v>30</v>
      </c>
      <c r="AD54">
        <v>-66</v>
      </c>
      <c r="AF54">
        <v>158</v>
      </c>
      <c r="AH54">
        <v>-388</v>
      </c>
      <c r="AJ54">
        <v>-247</v>
      </c>
      <c r="AL54">
        <v>-96</v>
      </c>
      <c r="AN54">
        <v>1071</v>
      </c>
      <c r="AP54">
        <v>1040</v>
      </c>
      <c r="AQ54">
        <v>-1181</v>
      </c>
      <c r="AR54">
        <v>-241</v>
      </c>
      <c r="AS54">
        <v>-607</v>
      </c>
      <c r="AT54">
        <v>204</v>
      </c>
      <c r="AU54">
        <v>-686</v>
      </c>
      <c r="AV54">
        <v>-193</v>
      </c>
      <c r="AW54">
        <v>-543</v>
      </c>
      <c r="AX54">
        <v>73</v>
      </c>
      <c r="AY54">
        <v>-471</v>
      </c>
      <c r="AZ54">
        <v>134</v>
      </c>
      <c r="BA54">
        <v>-472</v>
      </c>
      <c r="BB54">
        <v>-221</v>
      </c>
      <c r="BC54">
        <v>-237</v>
      </c>
      <c r="BD54">
        <v>510</v>
      </c>
      <c r="BE54">
        <v>-217</v>
      </c>
      <c r="BF54">
        <v>-259</v>
      </c>
      <c r="BG54">
        <v>-102</v>
      </c>
      <c r="BH54">
        <v>1562</v>
      </c>
      <c r="BI54">
        <v>-920</v>
      </c>
      <c r="BJ54">
        <v>-356</v>
      </c>
      <c r="BK54">
        <v>112</v>
      </c>
      <c r="BL54">
        <v>-236</v>
      </c>
      <c r="BM54">
        <v>2305</v>
      </c>
      <c r="BN54">
        <v>1106</v>
      </c>
      <c r="BO54">
        <v>83</v>
      </c>
      <c r="BP54">
        <v>-172</v>
      </c>
      <c r="BQ54">
        <v>624</v>
      </c>
      <c r="BR54">
        <v>811</v>
      </c>
    </row>
    <row r="55" spans="1:73" x14ac:dyDescent="0.3">
      <c r="A55" t="s">
        <v>174</v>
      </c>
      <c r="E55">
        <v>40</v>
      </c>
      <c r="H55">
        <v>-191</v>
      </c>
      <c r="L55">
        <v>-134</v>
      </c>
      <c r="P55">
        <v>18</v>
      </c>
      <c r="R55">
        <v>-106</v>
      </c>
      <c r="T55">
        <v>-110</v>
      </c>
      <c r="V55">
        <v>-34</v>
      </c>
      <c r="X55">
        <v>-72</v>
      </c>
      <c r="AB55">
        <v>27</v>
      </c>
      <c r="AV55">
        <v>-48</v>
      </c>
      <c r="AW55">
        <v>-43</v>
      </c>
      <c r="AX55">
        <v>-176</v>
      </c>
      <c r="AY55">
        <v>-12</v>
      </c>
      <c r="AZ55">
        <v>-197</v>
      </c>
      <c r="BA55">
        <v>4</v>
      </c>
      <c r="BB55">
        <v>-63</v>
      </c>
      <c r="BC55">
        <v>-100</v>
      </c>
      <c r="BD55">
        <v>-272</v>
      </c>
      <c r="BE55">
        <v>-53</v>
      </c>
      <c r="BF55">
        <v>180</v>
      </c>
      <c r="BG55">
        <v>-139</v>
      </c>
      <c r="BH55">
        <v>-391</v>
      </c>
      <c r="BI55">
        <v>-148</v>
      </c>
      <c r="BJ55">
        <v>-138</v>
      </c>
      <c r="BK55">
        <v>-54</v>
      </c>
      <c r="BL55">
        <v>-57</v>
      </c>
      <c r="BM55">
        <v>9</v>
      </c>
      <c r="BN55">
        <v>-253</v>
      </c>
      <c r="BO55">
        <v>-173</v>
      </c>
      <c r="BP55">
        <v>-253</v>
      </c>
      <c r="BQ55">
        <v>371</v>
      </c>
      <c r="BR55">
        <v>431</v>
      </c>
    </row>
    <row r="56" spans="1:73" x14ac:dyDescent="0.3">
      <c r="A56" t="s">
        <v>175</v>
      </c>
      <c r="B56">
        <v>219</v>
      </c>
      <c r="C56">
        <v>289</v>
      </c>
      <c r="D56">
        <v>-2052</v>
      </c>
      <c r="E56">
        <v>-440</v>
      </c>
      <c r="F56">
        <v>1711</v>
      </c>
      <c r="G56">
        <v>259</v>
      </c>
      <c r="H56">
        <v>-4749</v>
      </c>
      <c r="I56">
        <v>1451</v>
      </c>
      <c r="J56">
        <v>860</v>
      </c>
      <c r="K56">
        <v>558</v>
      </c>
      <c r="L56">
        <v>-4554</v>
      </c>
      <c r="M56">
        <v>1797</v>
      </c>
      <c r="N56">
        <v>791</v>
      </c>
      <c r="O56">
        <v>496</v>
      </c>
      <c r="P56">
        <v>-4036</v>
      </c>
      <c r="Q56">
        <v>1866</v>
      </c>
      <c r="R56">
        <v>0.5</v>
      </c>
      <c r="S56">
        <v>484</v>
      </c>
      <c r="T56">
        <v>-4096</v>
      </c>
      <c r="U56">
        <v>1505</v>
      </c>
      <c r="V56">
        <v>-5219</v>
      </c>
      <c r="W56">
        <v>604</v>
      </c>
      <c r="X56">
        <v>1482</v>
      </c>
      <c r="Y56">
        <v>3321</v>
      </c>
      <c r="AA56">
        <v>582</v>
      </c>
      <c r="AB56">
        <v>1787</v>
      </c>
      <c r="AD56">
        <v>1664</v>
      </c>
      <c r="AF56">
        <v>1822</v>
      </c>
      <c r="AH56">
        <v>1276</v>
      </c>
      <c r="AJ56">
        <v>1029</v>
      </c>
      <c r="AL56">
        <v>1180</v>
      </c>
      <c r="AN56">
        <v>2251</v>
      </c>
      <c r="AP56">
        <v>2220</v>
      </c>
      <c r="AQ56">
        <v>1039</v>
      </c>
      <c r="AR56">
        <v>1979</v>
      </c>
      <c r="AS56">
        <v>1372</v>
      </c>
      <c r="AT56">
        <v>2183</v>
      </c>
      <c r="AU56">
        <v>1497</v>
      </c>
      <c r="AV56">
        <v>1942</v>
      </c>
      <c r="AW56">
        <v>1356</v>
      </c>
      <c r="AX56">
        <v>1839</v>
      </c>
      <c r="AY56">
        <v>1356</v>
      </c>
      <c r="AZ56">
        <v>1776</v>
      </c>
      <c r="BA56">
        <v>1308</v>
      </c>
      <c r="BB56">
        <v>1492</v>
      </c>
      <c r="BC56">
        <v>1155</v>
      </c>
      <c r="BD56">
        <v>1730</v>
      </c>
      <c r="BE56">
        <v>1460</v>
      </c>
      <c r="BF56">
        <v>1651</v>
      </c>
      <c r="BG56">
        <v>1410</v>
      </c>
      <c r="BH56">
        <v>2822</v>
      </c>
      <c r="BI56">
        <v>1754</v>
      </c>
      <c r="BJ56">
        <v>2328</v>
      </c>
      <c r="BK56">
        <v>2386</v>
      </c>
      <c r="BL56">
        <v>2035</v>
      </c>
      <c r="BM56">
        <v>4349</v>
      </c>
      <c r="BN56">
        <v>2888</v>
      </c>
      <c r="BO56">
        <v>2698</v>
      </c>
      <c r="BP56">
        <v>2463</v>
      </c>
      <c r="BQ56">
        <v>3218</v>
      </c>
      <c r="BR56">
        <v>3337</v>
      </c>
    </row>
    <row r="57" spans="1:73" x14ac:dyDescent="0.3">
      <c r="A57" t="s">
        <v>176</v>
      </c>
    </row>
    <row r="58" spans="1:73" x14ac:dyDescent="0.3">
      <c r="A58" t="s">
        <v>152</v>
      </c>
      <c r="B58">
        <v>1470</v>
      </c>
      <c r="C58">
        <v>1503</v>
      </c>
      <c r="D58">
        <v>1392</v>
      </c>
      <c r="E58">
        <v>1107</v>
      </c>
      <c r="F58">
        <v>1987</v>
      </c>
      <c r="G58">
        <v>259</v>
      </c>
      <c r="H58">
        <v>883</v>
      </c>
      <c r="I58">
        <v>1451</v>
      </c>
      <c r="J58">
        <v>2757</v>
      </c>
      <c r="K58">
        <v>558</v>
      </c>
      <c r="L58">
        <v>1628</v>
      </c>
      <c r="M58">
        <v>1797</v>
      </c>
      <c r="N58">
        <v>3262</v>
      </c>
      <c r="O58">
        <v>496</v>
      </c>
      <c r="P58">
        <v>1326</v>
      </c>
      <c r="Q58">
        <v>1866</v>
      </c>
      <c r="R58">
        <v>2934</v>
      </c>
      <c r="S58">
        <v>484</v>
      </c>
      <c r="T58">
        <v>1228</v>
      </c>
      <c r="U58">
        <v>1505</v>
      </c>
      <c r="V58">
        <v>3068</v>
      </c>
      <c r="W58">
        <v>604</v>
      </c>
      <c r="X58">
        <v>1346</v>
      </c>
      <c r="Y58">
        <v>3321</v>
      </c>
      <c r="Z58">
        <v>2373</v>
      </c>
      <c r="AA58">
        <v>582</v>
      </c>
      <c r="AB58">
        <v>1190</v>
      </c>
      <c r="AD58">
        <v>2909</v>
      </c>
      <c r="AF58">
        <v>1004</v>
      </c>
      <c r="AH58">
        <v>2703</v>
      </c>
      <c r="AJ58">
        <v>1444</v>
      </c>
      <c r="AL58">
        <v>3225</v>
      </c>
      <c r="AN58">
        <v>1660</v>
      </c>
      <c r="AP58">
        <v>4390</v>
      </c>
      <c r="AQ58">
        <v>1560</v>
      </c>
      <c r="AR58">
        <v>4499</v>
      </c>
      <c r="AS58">
        <v>1933</v>
      </c>
      <c r="AT58">
        <v>5193</v>
      </c>
      <c r="AU58">
        <v>2106</v>
      </c>
      <c r="AV58">
        <v>5537</v>
      </c>
      <c r="AW58">
        <v>1714</v>
      </c>
      <c r="AX58">
        <v>5437</v>
      </c>
      <c r="AY58">
        <v>1867</v>
      </c>
      <c r="AZ58">
        <v>5366</v>
      </c>
      <c r="BA58">
        <v>1702</v>
      </c>
      <c r="BB58">
        <v>4634</v>
      </c>
      <c r="BC58">
        <v>1841</v>
      </c>
      <c r="BD58">
        <v>4437</v>
      </c>
      <c r="BE58">
        <v>1350</v>
      </c>
      <c r="BF58">
        <v>4893</v>
      </c>
      <c r="BG58">
        <v>1788</v>
      </c>
      <c r="BH58">
        <v>6119</v>
      </c>
      <c r="BI58">
        <v>4670</v>
      </c>
      <c r="BJ58">
        <v>11972</v>
      </c>
      <c r="BK58">
        <v>3394</v>
      </c>
      <c r="BL58">
        <v>10948</v>
      </c>
      <c r="BM58">
        <v>4034</v>
      </c>
      <c r="BN58">
        <v>11567</v>
      </c>
      <c r="BO58">
        <v>3317</v>
      </c>
      <c r="BP58">
        <v>11678</v>
      </c>
      <c r="BQ58">
        <v>4330</v>
      </c>
      <c r="BR58">
        <v>12537</v>
      </c>
    </row>
    <row r="59" spans="1:73" x14ac:dyDescent="0.3">
      <c r="A59" t="s">
        <v>48</v>
      </c>
      <c r="B59">
        <v>-348</v>
      </c>
      <c r="C59">
        <v>-429</v>
      </c>
      <c r="D59">
        <v>-358</v>
      </c>
      <c r="E59">
        <v>-281</v>
      </c>
      <c r="F59">
        <v>-334</v>
      </c>
      <c r="H59">
        <v>-288</v>
      </c>
      <c r="J59">
        <v>-598</v>
      </c>
      <c r="L59">
        <v>-469</v>
      </c>
      <c r="N59">
        <v>-858</v>
      </c>
      <c r="P59">
        <v>-497</v>
      </c>
      <c r="R59">
        <v>-907</v>
      </c>
      <c r="T59">
        <v>-388</v>
      </c>
      <c r="V59">
        <v>-709</v>
      </c>
      <c r="X59">
        <v>-395</v>
      </c>
      <c r="Z59">
        <v>-703</v>
      </c>
      <c r="AB59">
        <v>-373</v>
      </c>
      <c r="AD59">
        <v>-762</v>
      </c>
      <c r="AF59">
        <v>-378</v>
      </c>
      <c r="AH59">
        <v>-713</v>
      </c>
      <c r="AJ59">
        <v>-410</v>
      </c>
      <c r="AL59">
        <v>-866</v>
      </c>
      <c r="AN59">
        <v>-455</v>
      </c>
      <c r="AP59">
        <v>-943</v>
      </c>
      <c r="AQ59">
        <v>-517</v>
      </c>
      <c r="AR59">
        <v>-1095</v>
      </c>
      <c r="AS59">
        <v>-546</v>
      </c>
      <c r="AT59">
        <v>-1178</v>
      </c>
      <c r="AU59">
        <v>-744</v>
      </c>
      <c r="AV59">
        <v>-1447</v>
      </c>
      <c r="AW59">
        <v>-708</v>
      </c>
      <c r="AX59">
        <v>-1496</v>
      </c>
      <c r="AY59">
        <v>-730</v>
      </c>
      <c r="AZ59">
        <v>-1440</v>
      </c>
      <c r="BA59">
        <v>-711</v>
      </c>
      <c r="BB59">
        <v>-1433</v>
      </c>
      <c r="BC59">
        <v>-687</v>
      </c>
      <c r="BD59">
        <v>-1273</v>
      </c>
      <c r="BE59">
        <v>-620</v>
      </c>
      <c r="BF59">
        <v>-1245</v>
      </c>
      <c r="BG59">
        <v>-547</v>
      </c>
      <c r="BH59">
        <v>-1675</v>
      </c>
      <c r="BI59">
        <v>-813</v>
      </c>
      <c r="BJ59">
        <v>-1891</v>
      </c>
      <c r="BK59">
        <v>-1108</v>
      </c>
      <c r="BL59">
        <v>-2204</v>
      </c>
      <c r="BM59">
        <v>-552</v>
      </c>
      <c r="BN59">
        <v>-2132</v>
      </c>
      <c r="BO59">
        <v>-1227</v>
      </c>
      <c r="BP59">
        <v>-2314</v>
      </c>
      <c r="BQ59">
        <v>-1280</v>
      </c>
      <c r="BR59">
        <v>-2537</v>
      </c>
    </row>
    <row r="60" spans="1:73" x14ac:dyDescent="0.3">
      <c r="A60" t="s">
        <v>154</v>
      </c>
      <c r="B60">
        <v>-361</v>
      </c>
      <c r="C60">
        <v>-360</v>
      </c>
      <c r="D60">
        <v>-360</v>
      </c>
      <c r="E60">
        <v>-363</v>
      </c>
      <c r="J60">
        <v>-362</v>
      </c>
      <c r="N60">
        <v>-515</v>
      </c>
      <c r="R60">
        <v>-490</v>
      </c>
      <c r="V60">
        <v>-428</v>
      </c>
      <c r="X60">
        <v>-106</v>
      </c>
      <c r="Z60">
        <v>-333</v>
      </c>
      <c r="AB60">
        <v>-122</v>
      </c>
      <c r="AD60">
        <v>-419</v>
      </c>
      <c r="AF60">
        <v>-180</v>
      </c>
      <c r="AH60">
        <v>-483</v>
      </c>
      <c r="AJ60">
        <v>-175</v>
      </c>
      <c r="AL60">
        <v>-482</v>
      </c>
      <c r="AN60">
        <v>-132</v>
      </c>
      <c r="AP60">
        <v>-544</v>
      </c>
      <c r="AQ60">
        <v>-193</v>
      </c>
      <c r="AR60">
        <v>-554</v>
      </c>
      <c r="AS60">
        <v>-172</v>
      </c>
      <c r="AT60">
        <v>-584</v>
      </c>
      <c r="AU60">
        <v>-148</v>
      </c>
      <c r="AV60">
        <v>-617</v>
      </c>
      <c r="AW60">
        <v>-213</v>
      </c>
      <c r="AX60">
        <v>-804</v>
      </c>
      <c r="AY60">
        <v>-210</v>
      </c>
      <c r="AZ60">
        <v>-721</v>
      </c>
      <c r="BA60">
        <v>-277</v>
      </c>
      <c r="BB60">
        <v>-692</v>
      </c>
      <c r="BC60">
        <v>-206</v>
      </c>
      <c r="BD60">
        <v>-601</v>
      </c>
      <c r="BE60">
        <v>-149</v>
      </c>
      <c r="BF60">
        <v>-674</v>
      </c>
      <c r="BG60">
        <v>-297</v>
      </c>
      <c r="BH60">
        <v>-978</v>
      </c>
      <c r="BI60">
        <v>-240</v>
      </c>
      <c r="BJ60">
        <v>-943</v>
      </c>
      <c r="BK60">
        <v>-234</v>
      </c>
      <c r="BL60">
        <v>-815</v>
      </c>
      <c r="BM60">
        <v>-168</v>
      </c>
      <c r="BN60">
        <v>-755</v>
      </c>
      <c r="BO60">
        <v>-175</v>
      </c>
      <c r="BP60">
        <v>-745</v>
      </c>
      <c r="BQ60">
        <v>-151</v>
      </c>
      <c r="BR60">
        <v>-656</v>
      </c>
      <c r="BS60">
        <v>-669.5</v>
      </c>
      <c r="BT60">
        <v>-717.8</v>
      </c>
      <c r="BU60">
        <v>-762.5</v>
      </c>
    </row>
    <row r="61" spans="1:73" x14ac:dyDescent="0.3">
      <c r="A61" t="s">
        <v>177</v>
      </c>
      <c r="Z61">
        <v>81</v>
      </c>
      <c r="AD61">
        <v>193</v>
      </c>
      <c r="AH61">
        <v>259</v>
      </c>
      <c r="AL61">
        <v>285</v>
      </c>
      <c r="AN61">
        <v>1</v>
      </c>
      <c r="AP61">
        <v>326</v>
      </c>
      <c r="AQ61">
        <v>2</v>
      </c>
      <c r="AR61">
        <v>328</v>
      </c>
      <c r="AS61">
        <v>2</v>
      </c>
      <c r="AT61">
        <v>461</v>
      </c>
      <c r="AU61">
        <v>2</v>
      </c>
      <c r="AV61">
        <v>478</v>
      </c>
      <c r="AW61">
        <v>178</v>
      </c>
      <c r="AX61">
        <v>488</v>
      </c>
      <c r="AY61">
        <v>183</v>
      </c>
      <c r="AZ61">
        <v>512</v>
      </c>
      <c r="BA61">
        <v>181</v>
      </c>
      <c r="BB61">
        <v>517</v>
      </c>
      <c r="BC61">
        <v>201</v>
      </c>
      <c r="BD61">
        <v>593</v>
      </c>
      <c r="BE61">
        <v>324</v>
      </c>
      <c r="BF61">
        <v>962</v>
      </c>
      <c r="BG61">
        <v>465</v>
      </c>
      <c r="BH61">
        <v>903</v>
      </c>
      <c r="BI61">
        <v>1</v>
      </c>
      <c r="BJ61">
        <v>214</v>
      </c>
      <c r="BK61">
        <v>2</v>
      </c>
      <c r="BL61">
        <v>252</v>
      </c>
      <c r="BM61">
        <v>2</v>
      </c>
      <c r="BN61">
        <v>351</v>
      </c>
      <c r="BO61">
        <v>164</v>
      </c>
      <c r="BP61">
        <v>353</v>
      </c>
      <c r="BQ61">
        <v>171</v>
      </c>
      <c r="BR61">
        <v>394</v>
      </c>
    </row>
    <row r="62" spans="1:73" x14ac:dyDescent="0.3">
      <c r="A62" t="s">
        <v>178</v>
      </c>
      <c r="AV62">
        <v>-13</v>
      </c>
      <c r="AW62">
        <v>-3</v>
      </c>
      <c r="AX62">
        <v>-5</v>
      </c>
      <c r="AY62">
        <v>-2</v>
      </c>
      <c r="AZ62">
        <v>-2</v>
      </c>
      <c r="BA62">
        <v>-1</v>
      </c>
      <c r="BB62">
        <v>-2</v>
      </c>
      <c r="BH62">
        <v>-7</v>
      </c>
      <c r="BJ62">
        <v>-10</v>
      </c>
      <c r="BK62">
        <v>-68</v>
      </c>
      <c r="BL62">
        <v>-154</v>
      </c>
      <c r="BM62">
        <v>-76</v>
      </c>
      <c r="BN62">
        <v>-164</v>
      </c>
      <c r="BO62">
        <v>-72</v>
      </c>
      <c r="BP62">
        <v>-154</v>
      </c>
      <c r="BQ62">
        <v>-71</v>
      </c>
      <c r="BR62">
        <v>-161</v>
      </c>
    </row>
    <row r="63" spans="1:73" x14ac:dyDescent="0.3">
      <c r="A63" t="s">
        <v>179</v>
      </c>
      <c r="B63">
        <v>124</v>
      </c>
      <c r="C63">
        <v>197</v>
      </c>
      <c r="D63">
        <v>174</v>
      </c>
      <c r="E63">
        <v>389</v>
      </c>
      <c r="F63">
        <v>152</v>
      </c>
      <c r="J63">
        <v>-7</v>
      </c>
      <c r="N63">
        <v>-47</v>
      </c>
      <c r="R63">
        <v>-6</v>
      </c>
      <c r="V63">
        <v>-55</v>
      </c>
      <c r="Z63">
        <v>23</v>
      </c>
      <c r="AB63">
        <v>63</v>
      </c>
      <c r="AD63">
        <v>34</v>
      </c>
      <c r="AF63">
        <v>86</v>
      </c>
      <c r="AH63">
        <v>19</v>
      </c>
      <c r="AJ63">
        <v>95</v>
      </c>
      <c r="AL63">
        <v>5</v>
      </c>
      <c r="AN63">
        <v>153</v>
      </c>
      <c r="AP63">
        <v>29</v>
      </c>
      <c r="AQ63">
        <v>143</v>
      </c>
      <c r="AR63">
        <v>23</v>
      </c>
      <c r="AS63">
        <v>150</v>
      </c>
      <c r="AT63">
        <v>45</v>
      </c>
      <c r="AU63">
        <v>159</v>
      </c>
      <c r="BD63">
        <v>963</v>
      </c>
    </row>
    <row r="64" spans="1:73" x14ac:dyDescent="0.3">
      <c r="A64" t="s">
        <v>180</v>
      </c>
      <c r="B64">
        <v>885</v>
      </c>
      <c r="C64">
        <v>911</v>
      </c>
      <c r="D64">
        <v>848</v>
      </c>
      <c r="E64">
        <v>852</v>
      </c>
      <c r="F64">
        <v>1805</v>
      </c>
      <c r="G64">
        <v>259</v>
      </c>
      <c r="H64">
        <v>595</v>
      </c>
      <c r="I64">
        <v>1451</v>
      </c>
      <c r="J64">
        <v>1790</v>
      </c>
      <c r="K64">
        <v>558</v>
      </c>
      <c r="L64">
        <v>1159</v>
      </c>
      <c r="M64">
        <v>1797</v>
      </c>
      <c r="N64">
        <v>1842</v>
      </c>
      <c r="O64">
        <v>496</v>
      </c>
      <c r="P64">
        <v>829</v>
      </c>
      <c r="Q64">
        <v>1866</v>
      </c>
      <c r="R64">
        <v>1531</v>
      </c>
      <c r="S64">
        <v>484</v>
      </c>
      <c r="T64">
        <v>840</v>
      </c>
      <c r="U64">
        <v>1505</v>
      </c>
      <c r="V64">
        <v>1876</v>
      </c>
      <c r="W64">
        <v>604</v>
      </c>
      <c r="X64">
        <v>845</v>
      </c>
      <c r="Y64">
        <v>3321</v>
      </c>
      <c r="Z64">
        <v>1441</v>
      </c>
      <c r="AA64">
        <v>582</v>
      </c>
      <c r="AB64">
        <v>758</v>
      </c>
      <c r="AD64">
        <v>1955</v>
      </c>
      <c r="AF64">
        <v>532</v>
      </c>
      <c r="AH64">
        <v>1785</v>
      </c>
      <c r="AJ64">
        <v>954</v>
      </c>
      <c r="AL64">
        <v>2167</v>
      </c>
      <c r="AN64">
        <v>1227</v>
      </c>
      <c r="AP64">
        <v>3258</v>
      </c>
      <c r="AQ64">
        <v>995</v>
      </c>
      <c r="AR64">
        <v>3201</v>
      </c>
      <c r="AS64">
        <v>1367</v>
      </c>
      <c r="AT64">
        <v>3937</v>
      </c>
      <c r="AU64">
        <v>1375</v>
      </c>
      <c r="AV64">
        <v>3938</v>
      </c>
      <c r="AW64">
        <v>968</v>
      </c>
      <c r="AX64">
        <v>3620</v>
      </c>
      <c r="AY64">
        <v>1108</v>
      </c>
      <c r="AZ64">
        <v>3715</v>
      </c>
      <c r="BA64">
        <v>894</v>
      </c>
      <c r="BB64">
        <v>3024</v>
      </c>
      <c r="BC64">
        <v>1149</v>
      </c>
      <c r="BD64">
        <v>4119</v>
      </c>
      <c r="BE64">
        <v>905</v>
      </c>
      <c r="BF64">
        <v>3936</v>
      </c>
      <c r="BG64">
        <v>1409</v>
      </c>
      <c r="BH64">
        <v>4362</v>
      </c>
      <c r="BI64">
        <v>3618</v>
      </c>
      <c r="BJ64">
        <v>9342</v>
      </c>
      <c r="BK64">
        <v>1986</v>
      </c>
      <c r="BL64">
        <v>8027</v>
      </c>
      <c r="BM64">
        <v>3240</v>
      </c>
      <c r="BN64">
        <v>8867</v>
      </c>
      <c r="BO64">
        <v>2007</v>
      </c>
      <c r="BP64">
        <v>8818</v>
      </c>
      <c r="BQ64">
        <v>2999</v>
      </c>
      <c r="BR64">
        <v>9577</v>
      </c>
    </row>
    <row r="65" spans="1:73" x14ac:dyDescent="0.3">
      <c r="A65" t="s">
        <v>181</v>
      </c>
      <c r="AJ65">
        <v>-83</v>
      </c>
      <c r="AN65">
        <v>-79</v>
      </c>
      <c r="AQ65">
        <v>-112</v>
      </c>
      <c r="AS65">
        <v>-107</v>
      </c>
      <c r="AU65">
        <v>-139</v>
      </c>
      <c r="AV65">
        <v>-275</v>
      </c>
      <c r="AW65">
        <v>-135</v>
      </c>
      <c r="AX65">
        <v>-259</v>
      </c>
      <c r="AY65">
        <v>-154</v>
      </c>
      <c r="AZ65">
        <v>-265</v>
      </c>
      <c r="BA65">
        <v>-143</v>
      </c>
      <c r="BB65">
        <v>-249</v>
      </c>
      <c r="BC65">
        <v>-140</v>
      </c>
      <c r="BD65">
        <v>-235</v>
      </c>
      <c r="BE65">
        <v>-94</v>
      </c>
      <c r="BF65">
        <v>-147</v>
      </c>
      <c r="BG65">
        <v>-106</v>
      </c>
      <c r="BH65">
        <v>-167</v>
      </c>
      <c r="BI65">
        <v>-96</v>
      </c>
      <c r="BJ65">
        <v>-142</v>
      </c>
      <c r="BK65">
        <v>-88</v>
      </c>
      <c r="BL65">
        <v>-157</v>
      </c>
      <c r="BM65">
        <v>-70</v>
      </c>
      <c r="BN65">
        <v>-136</v>
      </c>
      <c r="BO65">
        <v>-81</v>
      </c>
      <c r="BP65">
        <v>-150</v>
      </c>
      <c r="BQ65">
        <v>-80</v>
      </c>
      <c r="BR65">
        <v>-158</v>
      </c>
    </row>
    <row r="66" spans="1:73" x14ac:dyDescent="0.3">
      <c r="A66" t="s">
        <v>50</v>
      </c>
      <c r="B66">
        <v>-303</v>
      </c>
      <c r="C66">
        <v>-328</v>
      </c>
      <c r="D66">
        <v>-399</v>
      </c>
      <c r="E66">
        <v>-354</v>
      </c>
      <c r="F66">
        <v>-260</v>
      </c>
      <c r="J66">
        <v>-492</v>
      </c>
      <c r="N66">
        <v>-484</v>
      </c>
      <c r="R66">
        <v>-347</v>
      </c>
      <c r="V66">
        <v>-324</v>
      </c>
      <c r="X66">
        <v>-211</v>
      </c>
      <c r="Z66">
        <v>-355</v>
      </c>
      <c r="AB66">
        <v>-172</v>
      </c>
      <c r="AD66">
        <v>-375</v>
      </c>
      <c r="AF66">
        <v>-176</v>
      </c>
      <c r="AH66">
        <v>-392</v>
      </c>
      <c r="AJ66">
        <v>-173</v>
      </c>
      <c r="AL66">
        <v>-387</v>
      </c>
      <c r="AN66">
        <v>-179</v>
      </c>
      <c r="AP66">
        <v>-403</v>
      </c>
      <c r="AQ66">
        <v>-352</v>
      </c>
      <c r="AR66">
        <v>-578</v>
      </c>
      <c r="AS66">
        <v>-335</v>
      </c>
      <c r="AT66">
        <v>-580</v>
      </c>
      <c r="AU66">
        <v>-327</v>
      </c>
      <c r="AV66">
        <v>-580</v>
      </c>
      <c r="AW66">
        <v>-291</v>
      </c>
      <c r="AX66">
        <v>-565</v>
      </c>
      <c r="AY66">
        <v>-274</v>
      </c>
      <c r="AZ66">
        <v>-571</v>
      </c>
      <c r="BA66">
        <v>-333</v>
      </c>
      <c r="BB66">
        <v>-571</v>
      </c>
      <c r="BC66">
        <v>-266</v>
      </c>
      <c r="BD66">
        <v>-596</v>
      </c>
      <c r="BE66">
        <v>-316</v>
      </c>
      <c r="BF66">
        <v>-641</v>
      </c>
      <c r="BG66">
        <v>-379</v>
      </c>
      <c r="BH66">
        <v>-1107</v>
      </c>
      <c r="BI66">
        <v>-752</v>
      </c>
      <c r="BJ66">
        <v>-1559</v>
      </c>
      <c r="BK66">
        <v>-789</v>
      </c>
      <c r="BL66">
        <v>-1633</v>
      </c>
      <c r="BM66">
        <v>-855</v>
      </c>
      <c r="BN66">
        <v>-1763</v>
      </c>
      <c r="BO66">
        <v>-764</v>
      </c>
      <c r="BP66">
        <v>-1508</v>
      </c>
      <c r="BQ66">
        <v>-757</v>
      </c>
      <c r="BR66">
        <v>-1663</v>
      </c>
    </row>
    <row r="67" spans="1:73" x14ac:dyDescent="0.3">
      <c r="A67" t="s">
        <v>182</v>
      </c>
      <c r="X67">
        <v>63</v>
      </c>
      <c r="Z67">
        <v>102</v>
      </c>
      <c r="AB67">
        <v>67</v>
      </c>
      <c r="AD67">
        <v>109</v>
      </c>
      <c r="AF67">
        <v>62</v>
      </c>
      <c r="AH67">
        <v>119</v>
      </c>
      <c r="AJ67">
        <v>49</v>
      </c>
      <c r="AL67">
        <v>114</v>
      </c>
      <c r="AN67">
        <v>63</v>
      </c>
      <c r="AP67">
        <v>125</v>
      </c>
      <c r="AQ67">
        <v>55</v>
      </c>
      <c r="AR67">
        <v>83</v>
      </c>
      <c r="AS67">
        <v>30</v>
      </c>
      <c r="AT67">
        <v>59</v>
      </c>
      <c r="AU67">
        <v>34</v>
      </c>
      <c r="AV67">
        <v>79</v>
      </c>
      <c r="AW67">
        <v>46</v>
      </c>
      <c r="AX67">
        <v>72</v>
      </c>
      <c r="AY67">
        <v>26</v>
      </c>
      <c r="AZ67">
        <v>70</v>
      </c>
      <c r="BA67">
        <v>33</v>
      </c>
      <c r="BB67">
        <v>61</v>
      </c>
      <c r="BC67">
        <v>32</v>
      </c>
      <c r="BD67">
        <v>64</v>
      </c>
      <c r="BE67">
        <v>26</v>
      </c>
      <c r="BF67">
        <v>62</v>
      </c>
      <c r="BG67">
        <v>34</v>
      </c>
      <c r="BH67">
        <v>83</v>
      </c>
      <c r="BI67">
        <v>36</v>
      </c>
      <c r="BJ67">
        <v>52</v>
      </c>
      <c r="BK67">
        <v>33</v>
      </c>
      <c r="BL67">
        <v>80</v>
      </c>
      <c r="BM67">
        <v>27</v>
      </c>
      <c r="BN67">
        <v>48</v>
      </c>
      <c r="BO67">
        <v>14</v>
      </c>
      <c r="BP67">
        <v>33</v>
      </c>
      <c r="BQ67">
        <v>28</v>
      </c>
      <c r="BR67">
        <v>85</v>
      </c>
    </row>
    <row r="68" spans="1:73" x14ac:dyDescent="0.3">
      <c r="A68" t="s">
        <v>183</v>
      </c>
      <c r="B68">
        <v>582</v>
      </c>
      <c r="C68">
        <v>583</v>
      </c>
      <c r="D68">
        <v>449</v>
      </c>
      <c r="E68">
        <v>498</v>
      </c>
      <c r="F68">
        <v>1545</v>
      </c>
      <c r="G68">
        <v>259</v>
      </c>
      <c r="H68">
        <v>595</v>
      </c>
      <c r="I68">
        <v>1451</v>
      </c>
      <c r="J68">
        <v>1298</v>
      </c>
      <c r="K68">
        <v>558</v>
      </c>
      <c r="L68">
        <v>1159</v>
      </c>
      <c r="M68">
        <v>1797</v>
      </c>
      <c r="N68">
        <v>1358</v>
      </c>
      <c r="O68">
        <v>496</v>
      </c>
      <c r="P68">
        <v>829</v>
      </c>
      <c r="Q68">
        <v>1866</v>
      </c>
      <c r="R68">
        <v>1184</v>
      </c>
      <c r="S68">
        <v>484</v>
      </c>
      <c r="T68">
        <v>840</v>
      </c>
      <c r="U68">
        <v>1505</v>
      </c>
      <c r="V68">
        <v>1552</v>
      </c>
      <c r="W68">
        <v>604</v>
      </c>
      <c r="X68">
        <v>697</v>
      </c>
      <c r="Y68">
        <v>3321</v>
      </c>
      <c r="Z68">
        <v>1188</v>
      </c>
      <c r="AA68">
        <v>582</v>
      </c>
      <c r="AB68">
        <v>653</v>
      </c>
      <c r="AD68">
        <v>1689</v>
      </c>
      <c r="AF68">
        <v>418</v>
      </c>
      <c r="AH68">
        <v>1512</v>
      </c>
      <c r="AJ68">
        <v>747</v>
      </c>
      <c r="AL68">
        <v>1894</v>
      </c>
      <c r="AN68">
        <v>1032</v>
      </c>
      <c r="AP68">
        <v>2980</v>
      </c>
      <c r="AQ68">
        <v>586</v>
      </c>
      <c r="AR68">
        <v>2706</v>
      </c>
      <c r="AS68">
        <v>955</v>
      </c>
      <c r="AT68">
        <v>3416</v>
      </c>
      <c r="AU68">
        <v>943</v>
      </c>
      <c r="AV68">
        <v>3162</v>
      </c>
      <c r="AW68">
        <v>588</v>
      </c>
      <c r="AX68">
        <v>2868</v>
      </c>
      <c r="AY68">
        <v>706</v>
      </c>
      <c r="AZ68">
        <v>2949</v>
      </c>
      <c r="BA68">
        <v>451</v>
      </c>
      <c r="BB68">
        <v>2265</v>
      </c>
      <c r="BC68">
        <v>775</v>
      </c>
      <c r="BD68">
        <v>3352</v>
      </c>
      <c r="BE68">
        <v>521</v>
      </c>
      <c r="BF68">
        <v>3210</v>
      </c>
      <c r="BG68">
        <v>958</v>
      </c>
      <c r="BH68">
        <v>3171</v>
      </c>
      <c r="BI68">
        <v>2806</v>
      </c>
      <c r="BJ68">
        <v>7693</v>
      </c>
      <c r="BK68">
        <v>1142</v>
      </c>
      <c r="BL68">
        <v>6317</v>
      </c>
      <c r="BM68">
        <v>2342</v>
      </c>
      <c r="BN68">
        <v>7016</v>
      </c>
      <c r="BO68">
        <v>1176</v>
      </c>
      <c r="BP68">
        <v>7193</v>
      </c>
      <c r="BQ68">
        <v>2190</v>
      </c>
      <c r="BR68">
        <v>7841</v>
      </c>
      <c r="BS68">
        <v>8893.1</v>
      </c>
      <c r="BT68">
        <v>9382</v>
      </c>
      <c r="BU68">
        <v>9884.6</v>
      </c>
    </row>
    <row r="69" spans="1:73" x14ac:dyDescent="0.3">
      <c r="A69" t="s">
        <v>184</v>
      </c>
    </row>
    <row r="70" spans="1:73" x14ac:dyDescent="0.3">
      <c r="A70" t="s">
        <v>185</v>
      </c>
      <c r="B70">
        <v>94.8</v>
      </c>
      <c r="C70">
        <v>97</v>
      </c>
      <c r="D70">
        <v>88.9</v>
      </c>
      <c r="E70">
        <v>70.3</v>
      </c>
      <c r="F70">
        <v>96.6</v>
      </c>
      <c r="G70">
        <v>10.6</v>
      </c>
      <c r="H70">
        <v>37.9</v>
      </c>
      <c r="I70">
        <v>63.9</v>
      </c>
      <c r="J70">
        <v>117.8</v>
      </c>
      <c r="K70">
        <v>25.5</v>
      </c>
      <c r="L70">
        <v>72.3</v>
      </c>
      <c r="M70">
        <v>81</v>
      </c>
      <c r="N70">
        <v>142</v>
      </c>
      <c r="O70">
        <v>21.6</v>
      </c>
      <c r="P70">
        <v>57.6</v>
      </c>
      <c r="Q70">
        <v>84.3</v>
      </c>
      <c r="R70">
        <v>127.6</v>
      </c>
      <c r="S70">
        <v>21.2</v>
      </c>
      <c r="T70">
        <v>52.5</v>
      </c>
      <c r="U70">
        <v>71.5</v>
      </c>
      <c r="V70">
        <v>136.9</v>
      </c>
      <c r="W70">
        <v>27.7</v>
      </c>
      <c r="X70">
        <v>62.1</v>
      </c>
      <c r="Y70">
        <v>153.69999999999999</v>
      </c>
      <c r="Z70">
        <v>110.1</v>
      </c>
      <c r="AA70">
        <v>27.3</v>
      </c>
      <c r="AB70">
        <v>56</v>
      </c>
      <c r="AD70">
        <v>137.69999999999999</v>
      </c>
      <c r="AF70">
        <v>48.2</v>
      </c>
      <c r="AH70">
        <v>130.19999999999999</v>
      </c>
      <c r="AJ70">
        <v>70.400000000000006</v>
      </c>
      <c r="AL70">
        <v>158.19999999999999</v>
      </c>
      <c r="AN70">
        <v>82.5</v>
      </c>
      <c r="AP70">
        <v>219</v>
      </c>
      <c r="AQ70">
        <v>78.3</v>
      </c>
      <c r="AR70">
        <v>226</v>
      </c>
      <c r="AS70">
        <v>97</v>
      </c>
      <c r="AT70">
        <v>260.39999999999998</v>
      </c>
      <c r="AU70">
        <v>105.8</v>
      </c>
      <c r="AV70">
        <v>279.39999999999998</v>
      </c>
      <c r="AW70">
        <v>87.4</v>
      </c>
      <c r="AX70">
        <v>279</v>
      </c>
      <c r="AY70">
        <v>97.1</v>
      </c>
      <c r="AZ70">
        <v>281.2</v>
      </c>
      <c r="BA70">
        <v>90.7</v>
      </c>
      <c r="BB70">
        <v>247.8</v>
      </c>
      <c r="BC70">
        <v>98.9</v>
      </c>
      <c r="BD70">
        <v>238.2</v>
      </c>
      <c r="BE70">
        <v>72.5</v>
      </c>
      <c r="BF70">
        <v>262.39999999999998</v>
      </c>
      <c r="BG70">
        <v>96</v>
      </c>
      <c r="BH70">
        <v>298.3</v>
      </c>
      <c r="BI70">
        <v>203.8</v>
      </c>
      <c r="BJ70">
        <v>522.29999999999995</v>
      </c>
      <c r="BK70">
        <v>148.1</v>
      </c>
      <c r="BL70">
        <v>477.9</v>
      </c>
      <c r="BM70">
        <v>175.9</v>
      </c>
      <c r="BN70">
        <v>504</v>
      </c>
      <c r="BO70">
        <v>144.5</v>
      </c>
      <c r="BP70">
        <v>508.4</v>
      </c>
      <c r="BQ70">
        <v>190.5</v>
      </c>
      <c r="BR70">
        <v>553</v>
      </c>
    </row>
    <row r="71" spans="1:73" x14ac:dyDescent="0.3">
      <c r="A71" t="s">
        <v>186</v>
      </c>
      <c r="B71">
        <v>37.5</v>
      </c>
      <c r="C71">
        <v>37.6</v>
      </c>
      <c r="D71">
        <v>28.7</v>
      </c>
      <c r="E71">
        <v>31.6</v>
      </c>
      <c r="F71">
        <v>75.099999999999994</v>
      </c>
      <c r="G71">
        <v>10.6</v>
      </c>
      <c r="H71">
        <v>25.5</v>
      </c>
      <c r="I71">
        <v>63.9</v>
      </c>
      <c r="J71">
        <v>55.5</v>
      </c>
      <c r="K71">
        <v>25.5</v>
      </c>
      <c r="L71">
        <v>51.5</v>
      </c>
      <c r="M71">
        <v>81</v>
      </c>
      <c r="N71">
        <v>59.1</v>
      </c>
      <c r="O71">
        <v>21.6</v>
      </c>
      <c r="P71">
        <v>36</v>
      </c>
      <c r="Q71">
        <v>84.3</v>
      </c>
      <c r="R71">
        <v>51.5</v>
      </c>
      <c r="S71">
        <v>21.2</v>
      </c>
      <c r="T71">
        <v>35.9</v>
      </c>
      <c r="U71">
        <v>71.5</v>
      </c>
      <c r="V71">
        <v>69.3</v>
      </c>
      <c r="W71">
        <v>27.7</v>
      </c>
      <c r="X71">
        <v>32.200000000000003</v>
      </c>
      <c r="Y71">
        <v>153.69999999999999</v>
      </c>
      <c r="Z71">
        <v>55.1</v>
      </c>
      <c r="AA71">
        <v>27.3</v>
      </c>
      <c r="AB71">
        <v>30.7</v>
      </c>
      <c r="AD71">
        <v>80</v>
      </c>
      <c r="AF71">
        <v>20</v>
      </c>
      <c r="AH71">
        <v>72.8</v>
      </c>
      <c r="AJ71">
        <v>36.4</v>
      </c>
      <c r="AL71">
        <v>92.9</v>
      </c>
      <c r="AN71">
        <v>51.3</v>
      </c>
      <c r="AP71">
        <v>148.6</v>
      </c>
      <c r="AQ71">
        <v>29.4</v>
      </c>
      <c r="AR71">
        <v>135.9</v>
      </c>
      <c r="AS71">
        <v>47.9</v>
      </c>
      <c r="AT71">
        <v>171.3</v>
      </c>
      <c r="AU71">
        <v>47.4</v>
      </c>
      <c r="AV71">
        <v>159.5</v>
      </c>
      <c r="AW71">
        <v>30</v>
      </c>
      <c r="AX71">
        <v>147.19999999999999</v>
      </c>
      <c r="AY71">
        <v>36.700000000000003</v>
      </c>
      <c r="AZ71">
        <v>154.6</v>
      </c>
      <c r="BA71">
        <v>24</v>
      </c>
      <c r="BB71">
        <v>121.1</v>
      </c>
      <c r="BC71">
        <v>41.6</v>
      </c>
      <c r="BD71">
        <v>179.9</v>
      </c>
      <c r="BE71">
        <v>28</v>
      </c>
      <c r="BF71">
        <v>172.1</v>
      </c>
      <c r="BG71">
        <v>51.4</v>
      </c>
      <c r="BH71">
        <v>154.6</v>
      </c>
      <c r="BI71">
        <v>122.5</v>
      </c>
      <c r="BJ71">
        <v>335.6</v>
      </c>
      <c r="BK71">
        <v>49.8</v>
      </c>
      <c r="BL71">
        <v>275.7</v>
      </c>
      <c r="BM71">
        <v>102.1</v>
      </c>
      <c r="BN71">
        <v>305.7</v>
      </c>
      <c r="BO71">
        <v>51.2</v>
      </c>
      <c r="BP71">
        <v>313.10000000000002</v>
      </c>
      <c r="BQ71">
        <v>96.3</v>
      </c>
      <c r="BR71">
        <v>345.9</v>
      </c>
    </row>
    <row r="72" spans="1:73" x14ac:dyDescent="0.3">
      <c r="A72" t="s">
        <v>187</v>
      </c>
      <c r="B72">
        <v>57.1</v>
      </c>
      <c r="C72">
        <v>58.8</v>
      </c>
      <c r="D72">
        <v>54.2</v>
      </c>
      <c r="E72">
        <v>54.1</v>
      </c>
      <c r="F72">
        <v>87.7</v>
      </c>
      <c r="G72">
        <v>10.6</v>
      </c>
      <c r="H72">
        <v>25.5</v>
      </c>
      <c r="I72">
        <v>63.9</v>
      </c>
      <c r="J72">
        <v>76.5</v>
      </c>
      <c r="K72">
        <v>25.5</v>
      </c>
      <c r="L72">
        <v>51.5</v>
      </c>
      <c r="M72">
        <v>81</v>
      </c>
      <c r="N72">
        <v>80.2</v>
      </c>
      <c r="O72">
        <v>21.6</v>
      </c>
      <c r="P72">
        <v>36</v>
      </c>
      <c r="Q72">
        <v>84.3</v>
      </c>
      <c r="R72">
        <v>66.599999999999994</v>
      </c>
      <c r="S72">
        <v>21.2</v>
      </c>
      <c r="T72">
        <v>35.9</v>
      </c>
      <c r="U72">
        <v>71.5</v>
      </c>
      <c r="V72">
        <v>83.7</v>
      </c>
      <c r="W72">
        <v>27.7</v>
      </c>
      <c r="X72">
        <v>39</v>
      </c>
      <c r="Y72">
        <v>153.69999999999999</v>
      </c>
      <c r="Z72">
        <v>66.8</v>
      </c>
      <c r="AA72">
        <v>27.3</v>
      </c>
      <c r="AB72">
        <v>35.700000000000003</v>
      </c>
      <c r="AD72">
        <v>92.6</v>
      </c>
      <c r="AF72">
        <v>25.5</v>
      </c>
      <c r="AH72">
        <v>86</v>
      </c>
      <c r="AJ72">
        <v>46.5</v>
      </c>
      <c r="AL72">
        <v>106.3</v>
      </c>
      <c r="AN72">
        <v>61</v>
      </c>
      <c r="AP72">
        <v>162.5</v>
      </c>
      <c r="AQ72">
        <v>49.9</v>
      </c>
      <c r="AR72">
        <v>160.80000000000001</v>
      </c>
      <c r="AS72">
        <v>68.599999999999994</v>
      </c>
      <c r="AT72">
        <v>197.4</v>
      </c>
      <c r="AU72">
        <v>69.099999999999994</v>
      </c>
      <c r="AV72">
        <v>198.7</v>
      </c>
      <c r="AW72">
        <v>49.4</v>
      </c>
      <c r="AX72">
        <v>185.7</v>
      </c>
      <c r="AY72">
        <v>57.6</v>
      </c>
      <c r="AZ72">
        <v>194.7</v>
      </c>
      <c r="BA72">
        <v>47.7</v>
      </c>
      <c r="BB72">
        <v>161.69999999999999</v>
      </c>
      <c r="BC72">
        <v>61.7</v>
      </c>
      <c r="BD72">
        <v>221.1</v>
      </c>
      <c r="BE72">
        <v>48.6</v>
      </c>
      <c r="BF72">
        <v>211</v>
      </c>
      <c r="BG72">
        <v>75.599999999999994</v>
      </c>
      <c r="BH72">
        <v>212.7</v>
      </c>
      <c r="BI72">
        <v>157.9</v>
      </c>
      <c r="BJ72">
        <v>407.6</v>
      </c>
      <c r="BK72">
        <v>86.7</v>
      </c>
      <c r="BL72">
        <v>350.4</v>
      </c>
      <c r="BM72">
        <v>141.19999999999999</v>
      </c>
      <c r="BN72">
        <v>386.4</v>
      </c>
      <c r="BO72">
        <v>87.4</v>
      </c>
      <c r="BP72">
        <v>383.9</v>
      </c>
      <c r="BQ72">
        <v>131.9</v>
      </c>
      <c r="BR72">
        <v>422.5</v>
      </c>
    </row>
    <row r="73" spans="1:73" x14ac:dyDescent="0.3">
      <c r="A73" t="s">
        <v>188</v>
      </c>
      <c r="B73">
        <v>23.3</v>
      </c>
      <c r="C73">
        <v>23.2</v>
      </c>
      <c r="D73">
        <v>23</v>
      </c>
      <c r="E73">
        <v>23.1</v>
      </c>
      <c r="J73">
        <v>15.5</v>
      </c>
      <c r="N73">
        <v>22.4</v>
      </c>
      <c r="R73">
        <v>21.3</v>
      </c>
      <c r="V73">
        <v>19.100000000000001</v>
      </c>
      <c r="X73">
        <v>4.9000000000000004</v>
      </c>
      <c r="Z73">
        <v>15.4</v>
      </c>
      <c r="AB73">
        <v>5.7</v>
      </c>
      <c r="AD73">
        <v>19.8</v>
      </c>
      <c r="AF73">
        <v>8.6</v>
      </c>
      <c r="AH73">
        <v>23.3</v>
      </c>
      <c r="AJ73">
        <v>8.5</v>
      </c>
      <c r="AL73">
        <v>23.6</v>
      </c>
      <c r="AN73">
        <v>6.6</v>
      </c>
      <c r="AP73">
        <v>27.1</v>
      </c>
      <c r="AQ73">
        <v>9.6999999999999993</v>
      </c>
      <c r="AR73">
        <v>27.8</v>
      </c>
      <c r="AS73">
        <v>8.6</v>
      </c>
      <c r="AT73">
        <v>29.3</v>
      </c>
      <c r="AU73">
        <v>7.4</v>
      </c>
      <c r="AV73">
        <v>31.1</v>
      </c>
      <c r="AW73">
        <v>10.9</v>
      </c>
      <c r="AX73">
        <v>41.3</v>
      </c>
      <c r="AY73">
        <v>10.9</v>
      </c>
      <c r="AZ73">
        <v>37.799999999999997</v>
      </c>
      <c r="BA73">
        <v>14.8</v>
      </c>
      <c r="BB73">
        <v>37</v>
      </c>
      <c r="BC73">
        <v>11.1</v>
      </c>
      <c r="BD73">
        <v>32.299999999999997</v>
      </c>
      <c r="BE73">
        <v>8</v>
      </c>
      <c r="BF73">
        <v>36.1</v>
      </c>
      <c r="BG73">
        <v>15.9</v>
      </c>
      <c r="BH73">
        <v>47.7</v>
      </c>
      <c r="BI73">
        <v>10.5</v>
      </c>
      <c r="BJ73">
        <v>41.1</v>
      </c>
      <c r="BK73">
        <v>10.199999999999999</v>
      </c>
      <c r="BL73">
        <v>35.6</v>
      </c>
      <c r="BM73">
        <v>7.3</v>
      </c>
      <c r="BN73">
        <v>32.9</v>
      </c>
      <c r="BO73">
        <v>7.6</v>
      </c>
      <c r="BP73">
        <v>32.4</v>
      </c>
      <c r="BQ73">
        <v>6.6</v>
      </c>
      <c r="BR73">
        <v>28.9</v>
      </c>
    </row>
  </sheetData>
  <sheetProtection algorithmName="SHA-512" hashValue="8bx9/A1+oYKSFsXwbgTUCwOXI6lnAbdjW+JpPqPcx/PONrMmfrNVGbQWjEQLXD22Dm+wXB2rZIPxGm3BF4WgVg==" saltValue="ZQ10dJ+wlNxOG8kixaadDQ==" spinCount="100000" sheet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</vt:lpstr>
      <vt:lpstr>summary</vt:lpstr>
      <vt:lpstr>WACC</vt:lpstr>
      <vt:lpstr>detailed-financials</vt:lpstr>
      <vt:lpstr>checks</vt:lpstr>
      <vt:lpstr>sources&gt;&gt;&gt;</vt:lpstr>
      <vt:lpstr>p&amp;l</vt:lpstr>
      <vt:lpstr>bs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2022-10-29T12:00:07Z</dcterms:created>
  <dcterms:modified xsi:type="dcterms:W3CDTF">2023-06-04T16:26:45Z</dcterms:modified>
</cp:coreProperties>
</file>