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Moss\Documents\Tim M\PF\AGFX\"/>
    </mc:Choice>
  </mc:AlternateContent>
  <xr:revisionPtr revIDLastSave="0" documentId="13_ncr:1_{0A1C1745-59E5-4FEF-B1B0-51B31AFDEFDD}" xr6:coauthVersionLast="47" xr6:coauthVersionMax="47" xr10:uidLastSave="{00000000-0000-0000-0000-000000000000}"/>
  <workbookProtection workbookAlgorithmName="SHA-512" workbookHashValue="9UDUv3Jhkzvk2xL5oDQDYL5BXXpsPtNANZPnlH1vhjVLAO+vYaJE+b20IH12NkYQFikwVrW3GvCAQVKxbT/FyQ==" workbookSaltValue="C6RcgF53U645VeHghMidIA==" workbookSpinCount="100000" lockStructure="1"/>
  <bookViews>
    <workbookView xWindow="-108" yWindow="-108" windowWidth="23256" windowHeight="12456" firstSheet="1" activeTab="1" xr2:uid="{4464965C-57E2-470B-B959-64ECF7EB36CC}"/>
  </bookViews>
  <sheets>
    <sheet name="cover" sheetId="1" state="hidden" r:id="rId1"/>
    <sheet name="summary" sheetId="11" r:id="rId2"/>
    <sheet name="WACC" sheetId="12" r:id="rId3"/>
    <sheet name="detailed-financials" sheetId="4" r:id="rId4"/>
    <sheet name="checks" sheetId="6" r:id="rId5"/>
    <sheet name="sources&gt;&gt;&gt;" sheetId="13" r:id="rId6"/>
    <sheet name="forecasts" sheetId="14" r:id="rId7"/>
    <sheet name="p&amp;l" sheetId="17" r:id="rId8"/>
    <sheet name="bs" sheetId="16" r:id="rId9"/>
    <sheet name="cf" sheetId="1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2" i="11" l="1"/>
  <c r="N42" i="11"/>
  <c r="M42" i="11"/>
  <c r="L42" i="11"/>
  <c r="K42" i="11"/>
  <c r="J42" i="11"/>
  <c r="I42" i="11"/>
  <c r="H42" i="11"/>
  <c r="G42" i="11"/>
  <c r="F42" i="11"/>
  <c r="H66" i="4"/>
  <c r="P50" i="4"/>
  <c r="H41" i="4"/>
  <c r="H40" i="4" s="1"/>
  <c r="H37" i="4"/>
  <c r="P39" i="4"/>
  <c r="P38" i="4"/>
  <c r="P37" i="4"/>
  <c r="P36" i="4"/>
  <c r="P31" i="4"/>
  <c r="P30" i="4"/>
  <c r="P29" i="4"/>
  <c r="P25" i="4"/>
  <c r="P21" i="4"/>
  <c r="P20" i="4"/>
  <c r="P18" i="4"/>
  <c r="P17" i="4"/>
  <c r="P14" i="4"/>
  <c r="O28" i="11"/>
  <c r="N28" i="11"/>
  <c r="M28" i="11"/>
  <c r="L28" i="11"/>
  <c r="K28" i="11"/>
  <c r="J28" i="11"/>
  <c r="I28" i="11"/>
  <c r="H28" i="11"/>
  <c r="G28" i="11"/>
  <c r="F28" i="11"/>
  <c r="P94" i="4"/>
  <c r="P56" i="4"/>
  <c r="D13" i="11"/>
  <c r="O20" i="11"/>
  <c r="O29" i="11" s="1"/>
  <c r="P34" i="11"/>
  <c r="Q7" i="4"/>
  <c r="R7" i="4"/>
  <c r="S7" i="4"/>
  <c r="T7" i="4"/>
  <c r="U7" i="4"/>
  <c r="V7" i="4"/>
  <c r="P7" i="4"/>
  <c r="F7" i="4"/>
  <c r="G7" i="4"/>
  <c r="H7" i="4"/>
  <c r="I7" i="4"/>
  <c r="J7" i="4"/>
  <c r="K7" i="4"/>
  <c r="L7" i="4"/>
  <c r="M7" i="4"/>
  <c r="N7" i="4"/>
  <c r="E7" i="4"/>
  <c r="P6" i="4"/>
  <c r="O32" i="11" l="1"/>
  <c r="P29" i="11"/>
  <c r="Q29" i="11" s="1"/>
  <c r="R29" i="11" s="1"/>
  <c r="S29" i="11" s="1"/>
  <c r="T29" i="11" s="1"/>
  <c r="U29" i="11" s="1"/>
  <c r="V29" i="11" s="1"/>
  <c r="E12" i="12"/>
  <c r="Q28" i="11"/>
  <c r="R28" i="11" s="1"/>
  <c r="S28" i="11" s="1"/>
  <c r="T28" i="11" s="1"/>
  <c r="U28" i="11" s="1"/>
  <c r="V28" i="11" s="1"/>
  <c r="F19" i="11"/>
  <c r="G19" i="11"/>
  <c r="H19" i="11"/>
  <c r="I19" i="11"/>
  <c r="J19" i="11"/>
  <c r="K19" i="11"/>
  <c r="L19" i="11"/>
  <c r="M19" i="11"/>
  <c r="N19" i="11"/>
  <c r="O19" i="11"/>
  <c r="J20" i="11"/>
  <c r="F34" i="11"/>
  <c r="N20" i="11"/>
  <c r="M20" i="11"/>
  <c r="L20" i="11"/>
  <c r="K20" i="11"/>
  <c r="I20" i="11"/>
  <c r="H20" i="11"/>
  <c r="G20" i="11"/>
  <c r="F20" i="11"/>
  <c r="F12" i="4"/>
  <c r="F27" i="4"/>
  <c r="F31" i="4"/>
  <c r="F28" i="4"/>
  <c r="E41" i="4"/>
  <c r="E39" i="4"/>
  <c r="E38" i="4"/>
  <c r="E37" i="4"/>
  <c r="E36" i="4"/>
  <c r="E31" i="4"/>
  <c r="E30" i="4"/>
  <c r="E29" i="4"/>
  <c r="E28" i="4"/>
  <c r="E27" i="4"/>
  <c r="E26" i="4"/>
  <c r="E25" i="4"/>
  <c r="E21" i="4"/>
  <c r="E20" i="4"/>
  <c r="E19" i="4"/>
  <c r="E18" i="4"/>
  <c r="E17" i="4"/>
  <c r="E16" i="4"/>
  <c r="E14" i="4"/>
  <c r="E12" i="4"/>
  <c r="F29" i="11" l="1"/>
  <c r="F32" i="11"/>
  <c r="G29" i="11"/>
  <c r="G32" i="11"/>
  <c r="L29" i="11"/>
  <c r="L32" i="11"/>
  <c r="N29" i="11"/>
  <c r="N32" i="11"/>
  <c r="J29" i="11"/>
  <c r="J32" i="11"/>
  <c r="H29" i="11"/>
  <c r="H32" i="11"/>
  <c r="I29" i="11"/>
  <c r="I32" i="11"/>
  <c r="K29" i="11"/>
  <c r="K32" i="11"/>
  <c r="M29" i="11"/>
  <c r="M32" i="11"/>
  <c r="F21" i="4"/>
  <c r="F17" i="4"/>
  <c r="F39" i="4"/>
  <c r="F20" i="4"/>
  <c r="F30" i="4"/>
  <c r="F37" i="4"/>
  <c r="F25" i="4"/>
  <c r="F18" i="4"/>
  <c r="F14" i="4"/>
  <c r="F16" i="4"/>
  <c r="F38" i="4"/>
  <c r="F26" i="4"/>
  <c r="F33" i="11" s="1"/>
  <c r="F19" i="4"/>
  <c r="F29" i="4"/>
  <c r="F41" i="4"/>
  <c r="F44" i="4" s="1"/>
  <c r="F36" i="4"/>
  <c r="E55" i="4"/>
  <c r="E57" i="4"/>
  <c r="E12" i="1"/>
  <c r="E14" i="1"/>
  <c r="F32" i="4" l="1"/>
  <c r="F24" i="4"/>
  <c r="G12" i="4"/>
  <c r="G17" i="4"/>
  <c r="G21" i="4"/>
  <c r="G18" i="4"/>
  <c r="G25" i="4"/>
  <c r="G37" i="4"/>
  <c r="G26" i="4"/>
  <c r="G38" i="4"/>
  <c r="G16" i="4"/>
  <c r="G27" i="4"/>
  <c r="G31" i="4"/>
  <c r="G28" i="4"/>
  <c r="G36" i="4"/>
  <c r="G41" i="4"/>
  <c r="G14" i="4"/>
  <c r="G29" i="4"/>
  <c r="G19" i="4"/>
  <c r="G30" i="4"/>
  <c r="G20" i="4"/>
  <c r="G39" i="4"/>
  <c r="F40" i="4"/>
  <c r="F13" i="4"/>
  <c r="F22" i="4"/>
  <c r="F34" i="4" s="1"/>
  <c r="E56" i="4"/>
  <c r="F51" i="4"/>
  <c r="E51" i="4"/>
  <c r="I10" i="12"/>
  <c r="E94" i="4"/>
  <c r="E92" i="4"/>
  <c r="B62" i="11"/>
  <c r="D11" i="11"/>
  <c r="D12" i="11"/>
  <c r="P9" i="11"/>
  <c r="I17" i="12"/>
  <c r="I16" i="12"/>
  <c r="I15" i="12"/>
  <c r="I12" i="12"/>
  <c r="E20" i="11"/>
  <c r="E32" i="11" s="1"/>
  <c r="E64" i="11" l="1"/>
  <c r="G33" i="11"/>
  <c r="G34" i="11"/>
  <c r="G40" i="4"/>
  <c r="G44" i="4"/>
  <c r="G24" i="4"/>
  <c r="G32" i="4"/>
  <c r="G13" i="4"/>
  <c r="G22" i="4"/>
  <c r="H25" i="4"/>
  <c r="H38" i="4"/>
  <c r="H26" i="4"/>
  <c r="H39" i="4"/>
  <c r="H27" i="4"/>
  <c r="H16" i="4"/>
  <c r="H28" i="4"/>
  <c r="H30" i="4"/>
  <c r="H19" i="4"/>
  <c r="H31" i="4"/>
  <c r="H20" i="4"/>
  <c r="H36" i="4"/>
  <c r="H29" i="4"/>
  <c r="H21" i="4"/>
  <c r="H14" i="4"/>
  <c r="H18" i="4"/>
  <c r="H12" i="4"/>
  <c r="E99" i="4"/>
  <c r="E96" i="4"/>
  <c r="E86" i="4"/>
  <c r="E82" i="4"/>
  <c r="E87" i="4"/>
  <c r="E90" i="4"/>
  <c r="E88" i="4"/>
  <c r="E89" i="4"/>
  <c r="E79" i="4"/>
  <c r="E36" i="11" s="1"/>
  <c r="E83" i="4"/>
  <c r="E80" i="4"/>
  <c r="E85" i="4"/>
  <c r="E81" i="4"/>
  <c r="E37" i="11" s="1"/>
  <c r="E78" i="4"/>
  <c r="E58" i="4"/>
  <c r="E54" i="4"/>
  <c r="E74" i="4"/>
  <c r="E63" i="4"/>
  <c r="E68" i="4"/>
  <c r="E65" i="4"/>
  <c r="E60" i="4"/>
  <c r="E50" i="4"/>
  <c r="E52" i="4" s="1"/>
  <c r="E19" i="11"/>
  <c r="E34" i="11"/>
  <c r="E65" i="11" l="1"/>
  <c r="H33" i="11"/>
  <c r="H34" i="11"/>
  <c r="G34" i="4"/>
  <c r="E43" i="11"/>
  <c r="E25" i="11"/>
  <c r="E53" i="4"/>
  <c r="E59" i="11"/>
  <c r="E33" i="11"/>
  <c r="E95" i="4"/>
  <c r="E97" i="4" s="1"/>
  <c r="E100" i="4" s="1"/>
  <c r="E91" i="4"/>
  <c r="E41" i="11"/>
  <c r="E76" i="4"/>
  <c r="E59" i="4"/>
  <c r="E30" i="11" s="1"/>
  <c r="E84" i="4"/>
  <c r="E24" i="4"/>
  <c r="E44" i="4"/>
  <c r="E40" i="4"/>
  <c r="E32" i="4"/>
  <c r="E22" i="4"/>
  <c r="E13" i="4"/>
  <c r="E31" i="11" s="1"/>
  <c r="F64" i="11"/>
  <c r="E62" i="11"/>
  <c r="I38" i="4" l="1"/>
  <c r="I26" i="4"/>
  <c r="I39" i="4"/>
  <c r="I27" i="4"/>
  <c r="I16" i="4"/>
  <c r="I41" i="4"/>
  <c r="I28" i="4"/>
  <c r="I33" i="11" s="1"/>
  <c r="I17" i="4"/>
  <c r="I29" i="4"/>
  <c r="I18" i="4"/>
  <c r="I31" i="4"/>
  <c r="I20" i="4"/>
  <c r="I36" i="4"/>
  <c r="I21" i="4"/>
  <c r="I30" i="4"/>
  <c r="I25" i="4"/>
  <c r="I14" i="4"/>
  <c r="I19" i="4"/>
  <c r="I12" i="4"/>
  <c r="I37" i="4"/>
  <c r="E26" i="11"/>
  <c r="E27" i="11" s="1"/>
  <c r="G51" i="4"/>
  <c r="E44" i="11"/>
  <c r="F99" i="4"/>
  <c r="F96" i="4"/>
  <c r="F94" i="4"/>
  <c r="F88" i="4"/>
  <c r="F90" i="4"/>
  <c r="F87" i="4"/>
  <c r="F86" i="4"/>
  <c r="F89" i="4"/>
  <c r="F92" i="4"/>
  <c r="F85" i="4"/>
  <c r="F80" i="4"/>
  <c r="F83" i="4"/>
  <c r="F79" i="4"/>
  <c r="F36" i="11" s="1"/>
  <c r="F81" i="4"/>
  <c r="F37" i="11" s="1"/>
  <c r="F82" i="4"/>
  <c r="F74" i="4"/>
  <c r="F78" i="4"/>
  <c r="F54" i="4"/>
  <c r="F65" i="4"/>
  <c r="F68" i="4"/>
  <c r="F63" i="4"/>
  <c r="F55" i="4"/>
  <c r="F45" i="11" s="1"/>
  <c r="F58" i="4"/>
  <c r="F60" i="4"/>
  <c r="F57" i="4"/>
  <c r="F50" i="4"/>
  <c r="E34" i="4"/>
  <c r="E46" i="4" s="1"/>
  <c r="F62" i="11"/>
  <c r="F65" i="11"/>
  <c r="G64" i="11"/>
  <c r="F59" i="11" l="1"/>
  <c r="F41" i="11"/>
  <c r="F31" i="11"/>
  <c r="F47" i="11"/>
  <c r="Q34" i="11"/>
  <c r="I34" i="11"/>
  <c r="F52" i="4"/>
  <c r="F95" i="4"/>
  <c r="F97" i="4" s="1"/>
  <c r="F100" i="4" s="1"/>
  <c r="F73" i="4"/>
  <c r="F76" i="4"/>
  <c r="F84" i="4"/>
  <c r="F91" i="4"/>
  <c r="F59" i="4"/>
  <c r="F61" i="4" s="1"/>
  <c r="F49" i="11" s="1"/>
  <c r="F50" i="11" s="1"/>
  <c r="F56" i="4"/>
  <c r="G65" i="11"/>
  <c r="G62" i="11"/>
  <c r="H64" i="11"/>
  <c r="F48" i="11" l="1"/>
  <c r="F51" i="11"/>
  <c r="F46" i="11"/>
  <c r="F24" i="11"/>
  <c r="F53" i="4"/>
  <c r="F43" i="11"/>
  <c r="F44" i="11" s="1"/>
  <c r="F25" i="11"/>
  <c r="F35" i="11"/>
  <c r="F30" i="11"/>
  <c r="J39" i="4"/>
  <c r="J27" i="4"/>
  <c r="J16" i="4"/>
  <c r="J41" i="4"/>
  <c r="J28" i="4"/>
  <c r="J17" i="4"/>
  <c r="J29" i="4"/>
  <c r="J18" i="4"/>
  <c r="J30" i="4"/>
  <c r="J19" i="4"/>
  <c r="J36" i="4"/>
  <c r="J21" i="4"/>
  <c r="J37" i="4"/>
  <c r="J25" i="4"/>
  <c r="J31" i="4"/>
  <c r="J14" i="4"/>
  <c r="J26" i="4"/>
  <c r="J20" i="4"/>
  <c r="J12" i="4"/>
  <c r="J38" i="4"/>
  <c r="H51" i="4"/>
  <c r="F66" i="4"/>
  <c r="F53" i="11" s="1"/>
  <c r="F54" i="11" s="1"/>
  <c r="F64" i="4"/>
  <c r="F69" i="4"/>
  <c r="G94" i="4"/>
  <c r="G99" i="4"/>
  <c r="G96" i="4"/>
  <c r="F75" i="4"/>
  <c r="G87" i="4"/>
  <c r="G86" i="4"/>
  <c r="G89" i="4"/>
  <c r="G92" i="4"/>
  <c r="G90" i="4"/>
  <c r="G88" i="4"/>
  <c r="G83" i="4"/>
  <c r="G79" i="4"/>
  <c r="G36" i="11" s="1"/>
  <c r="G82" i="4"/>
  <c r="G85" i="4"/>
  <c r="G81" i="4"/>
  <c r="G37" i="11" s="1"/>
  <c r="G80" i="4"/>
  <c r="G74" i="4"/>
  <c r="G78" i="4"/>
  <c r="G59" i="11" s="1"/>
  <c r="G54" i="4"/>
  <c r="G68" i="4"/>
  <c r="G63" i="4"/>
  <c r="G65" i="4"/>
  <c r="F46" i="4"/>
  <c r="G58" i="4"/>
  <c r="G60" i="4"/>
  <c r="G57" i="4"/>
  <c r="G55" i="4"/>
  <c r="G45" i="11" s="1"/>
  <c r="G50" i="4"/>
  <c r="H65" i="11"/>
  <c r="H62" i="11"/>
  <c r="I64" i="11"/>
  <c r="J64" i="11" l="1"/>
  <c r="J65" i="11" s="1"/>
  <c r="F77" i="4"/>
  <c r="G41" i="11"/>
  <c r="G31" i="11"/>
  <c r="G47" i="11"/>
  <c r="G51" i="11" s="1"/>
  <c r="F26" i="11"/>
  <c r="F27" i="11" s="1"/>
  <c r="R34" i="11"/>
  <c r="J34" i="11"/>
  <c r="J33" i="11"/>
  <c r="G52" i="4"/>
  <c r="G73" i="4"/>
  <c r="G76" i="4"/>
  <c r="G91" i="4"/>
  <c r="G95" i="4"/>
  <c r="G97" i="4" s="1"/>
  <c r="G100" i="4" s="1"/>
  <c r="G84" i="4"/>
  <c r="G59" i="4"/>
  <c r="G61" i="4" s="1"/>
  <c r="G56" i="4"/>
  <c r="I62" i="11"/>
  <c r="I65" i="11"/>
  <c r="K64" i="11" l="1"/>
  <c r="J62" i="11"/>
  <c r="G46" i="11"/>
  <c r="G24" i="11"/>
  <c r="G69" i="4"/>
  <c r="G49" i="11"/>
  <c r="G50" i="11" s="1"/>
  <c r="G35" i="11"/>
  <c r="G30" i="11"/>
  <c r="G48" i="11"/>
  <c r="G53" i="4"/>
  <c r="G43" i="11"/>
  <c r="G44" i="11" s="1"/>
  <c r="G25" i="11"/>
  <c r="K41" i="4"/>
  <c r="K28" i="4"/>
  <c r="K17" i="4"/>
  <c r="K29" i="4"/>
  <c r="K18" i="4"/>
  <c r="K30" i="4"/>
  <c r="K19" i="4"/>
  <c r="K31" i="4"/>
  <c r="K20" i="4"/>
  <c r="K37" i="4"/>
  <c r="K25" i="4"/>
  <c r="K38" i="4"/>
  <c r="K26" i="4"/>
  <c r="K16" i="4"/>
  <c r="K60" i="4"/>
  <c r="K76" i="4" s="1"/>
  <c r="K80" i="4"/>
  <c r="K14" i="4"/>
  <c r="K54" i="4"/>
  <c r="K27" i="4"/>
  <c r="K55" i="4"/>
  <c r="K74" i="4"/>
  <c r="K82" i="4"/>
  <c r="K21" i="4"/>
  <c r="K12" i="4"/>
  <c r="K50" i="4"/>
  <c r="K63" i="4"/>
  <c r="K51" i="4"/>
  <c r="K57" i="4"/>
  <c r="K65" i="4"/>
  <c r="K39" i="4"/>
  <c r="K58" i="4"/>
  <c r="K68" i="4"/>
  <c r="K78" i="4"/>
  <c r="K85" i="4"/>
  <c r="K92" i="4"/>
  <c r="K79" i="4"/>
  <c r="K36" i="11" s="1"/>
  <c r="K86" i="4"/>
  <c r="K99" i="4"/>
  <c r="K89" i="4"/>
  <c r="K83" i="4"/>
  <c r="K87" i="4"/>
  <c r="K88" i="4"/>
  <c r="K96" i="4"/>
  <c r="K90" i="4"/>
  <c r="K94" i="4"/>
  <c r="K81" i="4"/>
  <c r="K37" i="11" s="1"/>
  <c r="K36" i="4"/>
  <c r="I80" i="4"/>
  <c r="I68" i="4"/>
  <c r="I74" i="4"/>
  <c r="I58" i="4"/>
  <c r="I54" i="4"/>
  <c r="I57" i="4" s="1"/>
  <c r="I90" i="4"/>
  <c r="I94" i="4"/>
  <c r="I50" i="4"/>
  <c r="I51" i="4"/>
  <c r="I99" i="4"/>
  <c r="I65" i="4"/>
  <c r="I89" i="4"/>
  <c r="I96" i="4"/>
  <c r="I92" i="4"/>
  <c r="I85" i="4"/>
  <c r="I87" i="4"/>
  <c r="I83" i="4"/>
  <c r="I86" i="4"/>
  <c r="I60" i="4"/>
  <c r="I78" i="4"/>
  <c r="I88" i="4"/>
  <c r="I82" i="4"/>
  <c r="I79" i="4"/>
  <c r="I36" i="11" s="1"/>
  <c r="I63" i="4"/>
  <c r="I81" i="4"/>
  <c r="I37" i="11" s="1"/>
  <c r="G66" i="4"/>
  <c r="G53" i="11" s="1"/>
  <c r="G54" i="11" s="1"/>
  <c r="G64" i="4"/>
  <c r="G75" i="4"/>
  <c r="H99" i="4"/>
  <c r="H94" i="4"/>
  <c r="H96" i="4"/>
  <c r="H86" i="4"/>
  <c r="H89" i="4"/>
  <c r="H92" i="4"/>
  <c r="H90" i="4"/>
  <c r="H88" i="4"/>
  <c r="H87" i="4"/>
  <c r="H79" i="4"/>
  <c r="H36" i="11" s="1"/>
  <c r="H82" i="4"/>
  <c r="H81" i="4"/>
  <c r="H37" i="11" s="1"/>
  <c r="H83" i="4"/>
  <c r="H85" i="4"/>
  <c r="H80" i="4"/>
  <c r="H78" i="4"/>
  <c r="H63" i="4"/>
  <c r="H74" i="4"/>
  <c r="H57" i="4"/>
  <c r="H50" i="4"/>
  <c r="H60" i="4"/>
  <c r="H44" i="4"/>
  <c r="H58" i="4"/>
  <c r="H55" i="4"/>
  <c r="H45" i="11" s="1"/>
  <c r="H54" i="4"/>
  <c r="H68" i="4"/>
  <c r="H65" i="4"/>
  <c r="G46" i="4"/>
  <c r="K62" i="11"/>
  <c r="K65" i="11"/>
  <c r="L64" i="11" l="1"/>
  <c r="L65" i="11" s="1"/>
  <c r="I47" i="11"/>
  <c r="I51" i="11" s="1"/>
  <c r="I41" i="11"/>
  <c r="H47" i="11"/>
  <c r="H51" i="11" s="1"/>
  <c r="G26" i="11"/>
  <c r="G27" i="11" s="1"/>
  <c r="G77" i="4"/>
  <c r="K41" i="11"/>
  <c r="H41" i="11"/>
  <c r="H24" i="11" s="1"/>
  <c r="I30" i="11"/>
  <c r="H30" i="11"/>
  <c r="H59" i="11"/>
  <c r="I59" i="11"/>
  <c r="K59" i="11"/>
  <c r="K33" i="11"/>
  <c r="S34" i="11"/>
  <c r="K34" i="11"/>
  <c r="K45" i="11"/>
  <c r="K47" i="11"/>
  <c r="K51" i="11" s="1"/>
  <c r="K59" i="4"/>
  <c r="K52" i="4"/>
  <c r="K73" i="4"/>
  <c r="K56" i="4"/>
  <c r="K75" i="4" s="1"/>
  <c r="K91" i="4"/>
  <c r="K95" i="4"/>
  <c r="K97" i="4" s="1"/>
  <c r="K100" i="4" s="1"/>
  <c r="K84" i="4"/>
  <c r="K24" i="4"/>
  <c r="K32" i="4"/>
  <c r="K22" i="4"/>
  <c r="K13" i="4"/>
  <c r="K31" i="11" s="1"/>
  <c r="K44" i="4"/>
  <c r="K40" i="4"/>
  <c r="I55" i="4"/>
  <c r="I73" i="4"/>
  <c r="I59" i="4"/>
  <c r="I61" i="4" s="1"/>
  <c r="I84" i="4"/>
  <c r="I40" i="4"/>
  <c r="I44" i="4"/>
  <c r="I24" i="4"/>
  <c r="I32" i="4"/>
  <c r="I52" i="4"/>
  <c r="I91" i="4"/>
  <c r="I95" i="4"/>
  <c r="I97" i="4" s="1"/>
  <c r="I100" i="4" s="1"/>
  <c r="I76" i="4"/>
  <c r="I13" i="4"/>
  <c r="I31" i="11" s="1"/>
  <c r="I22" i="4"/>
  <c r="H52" i="4"/>
  <c r="H73" i="4"/>
  <c r="H76" i="4"/>
  <c r="H91" i="4"/>
  <c r="H95" i="4"/>
  <c r="H97" i="4" s="1"/>
  <c r="H100" i="4" s="1"/>
  <c r="H59" i="4"/>
  <c r="H22" i="4"/>
  <c r="H32" i="4"/>
  <c r="H13" i="4"/>
  <c r="H31" i="11" s="1"/>
  <c r="H84" i="4"/>
  <c r="H24" i="4"/>
  <c r="H56" i="4"/>
  <c r="I24" i="11" l="1"/>
  <c r="K46" i="11"/>
  <c r="I25" i="11"/>
  <c r="I43" i="11"/>
  <c r="I44" i="11" s="1"/>
  <c r="H53" i="4"/>
  <c r="H26" i="11" s="1"/>
  <c r="H27" i="11" s="1"/>
  <c r="H43" i="11"/>
  <c r="H44" i="11" s="1"/>
  <c r="H25" i="11"/>
  <c r="K77" i="4"/>
  <c r="K53" i="4"/>
  <c r="K25" i="11"/>
  <c r="K43" i="11"/>
  <c r="K44" i="11" s="1"/>
  <c r="I69" i="4"/>
  <c r="I49" i="11"/>
  <c r="I50" i="11" s="1"/>
  <c r="I35" i="11"/>
  <c r="H48" i="11"/>
  <c r="I56" i="4"/>
  <c r="I45" i="11"/>
  <c r="I46" i="11" s="1"/>
  <c r="K48" i="11"/>
  <c r="H46" i="11"/>
  <c r="I48" i="11"/>
  <c r="K26" i="11"/>
  <c r="K27" i="11" s="1"/>
  <c r="K61" i="4"/>
  <c r="K64" i="4" s="1"/>
  <c r="K30" i="11"/>
  <c r="L29" i="4"/>
  <c r="L18" i="4"/>
  <c r="L30" i="4"/>
  <c r="L19" i="4"/>
  <c r="L31" i="4"/>
  <c r="L20" i="4"/>
  <c r="L36" i="4"/>
  <c r="L21" i="4"/>
  <c r="L38" i="4"/>
  <c r="L26" i="4"/>
  <c r="L39" i="4"/>
  <c r="L27" i="4"/>
  <c r="L14" i="4"/>
  <c r="L79" i="4"/>
  <c r="L36" i="11" s="1"/>
  <c r="L28" i="4"/>
  <c r="L60" i="4"/>
  <c r="L76" i="4" s="1"/>
  <c r="L80" i="4"/>
  <c r="L25" i="4"/>
  <c r="L54" i="4"/>
  <c r="L81" i="4"/>
  <c r="L37" i="11" s="1"/>
  <c r="L12" i="4"/>
  <c r="L55" i="4"/>
  <c r="L74" i="4"/>
  <c r="L41" i="4"/>
  <c r="L17" i="4"/>
  <c r="L50" i="4"/>
  <c r="L63" i="4"/>
  <c r="L37" i="4"/>
  <c r="L51" i="4"/>
  <c r="L57" i="4"/>
  <c r="L65" i="4"/>
  <c r="L96" i="4"/>
  <c r="L88" i="4"/>
  <c r="L85" i="4"/>
  <c r="L86" i="4"/>
  <c r="L99" i="4"/>
  <c r="L68" i="4"/>
  <c r="L83" i="4"/>
  <c r="L87" i="4"/>
  <c r="L82" i="4"/>
  <c r="L58" i="4"/>
  <c r="L89" i="4"/>
  <c r="L92" i="4"/>
  <c r="L78" i="4"/>
  <c r="L90" i="4"/>
  <c r="L94" i="4"/>
  <c r="L16" i="4"/>
  <c r="K34" i="4"/>
  <c r="I34" i="4"/>
  <c r="J55" i="4"/>
  <c r="J45" i="11" s="1"/>
  <c r="J92" i="4"/>
  <c r="J51" i="4"/>
  <c r="J90" i="4"/>
  <c r="J74" i="4"/>
  <c r="J82" i="4"/>
  <c r="J63" i="4"/>
  <c r="J80" i="4"/>
  <c r="J68" i="4"/>
  <c r="J96" i="4"/>
  <c r="J58" i="4"/>
  <c r="J86" i="4"/>
  <c r="J50" i="4"/>
  <c r="J79" i="4"/>
  <c r="J36" i="11" s="1"/>
  <c r="J60" i="4"/>
  <c r="J99" i="4"/>
  <c r="J78" i="4"/>
  <c r="J94" i="4"/>
  <c r="J89" i="4"/>
  <c r="J85" i="4"/>
  <c r="J83" i="4"/>
  <c r="J54" i="4"/>
  <c r="J57" i="4" s="1"/>
  <c r="J81" i="4"/>
  <c r="J37" i="11" s="1"/>
  <c r="J88" i="4"/>
  <c r="J65" i="4"/>
  <c r="J87" i="4"/>
  <c r="I75" i="4"/>
  <c r="I64" i="4"/>
  <c r="I66" i="4"/>
  <c r="I53" i="4"/>
  <c r="I26" i="11" s="1"/>
  <c r="I27" i="11" s="1"/>
  <c r="H34" i="4"/>
  <c r="H61" i="4"/>
  <c r="H75" i="4"/>
  <c r="K69" i="4" l="1"/>
  <c r="K66" i="4"/>
  <c r="H46" i="4"/>
  <c r="I46" i="4"/>
  <c r="K46" i="4"/>
  <c r="L33" i="11"/>
  <c r="I53" i="11"/>
  <c r="I54" i="11" s="1"/>
  <c r="H77" i="4"/>
  <c r="L41" i="11"/>
  <c r="L24" i="11" s="1"/>
  <c r="H49" i="11"/>
  <c r="H50" i="11" s="1"/>
  <c r="H35" i="11"/>
  <c r="J47" i="11"/>
  <c r="J51" i="11" s="1"/>
  <c r="J41" i="11"/>
  <c r="I77" i="4"/>
  <c r="L59" i="11"/>
  <c r="J59" i="11"/>
  <c r="L34" i="11"/>
  <c r="T34" i="11"/>
  <c r="L47" i="11"/>
  <c r="L51" i="11" s="1"/>
  <c r="L45" i="11"/>
  <c r="K49" i="11"/>
  <c r="K50" i="11" s="1"/>
  <c r="K35" i="11"/>
  <c r="K53" i="11"/>
  <c r="K54" i="11" s="1"/>
  <c r="L52" i="4"/>
  <c r="L84" i="4"/>
  <c r="L56" i="4"/>
  <c r="L75" i="4" s="1"/>
  <c r="L73" i="4"/>
  <c r="L13" i="4"/>
  <c r="L31" i="11" s="1"/>
  <c r="L22" i="4"/>
  <c r="L24" i="4"/>
  <c r="L32" i="4"/>
  <c r="L95" i="4"/>
  <c r="L97" i="4" s="1"/>
  <c r="L100" i="4" s="1"/>
  <c r="L91" i="4"/>
  <c r="L59" i="4"/>
  <c r="L40" i="4"/>
  <c r="L44" i="4"/>
  <c r="J73" i="4"/>
  <c r="J59" i="4"/>
  <c r="J61" i="4" s="1"/>
  <c r="J49" i="11" s="1"/>
  <c r="J56" i="4"/>
  <c r="J95" i="4"/>
  <c r="J97" i="4" s="1"/>
  <c r="J100" i="4" s="1"/>
  <c r="J91" i="4"/>
  <c r="J32" i="4"/>
  <c r="J24" i="4"/>
  <c r="J52" i="4"/>
  <c r="J13" i="4"/>
  <c r="J31" i="11" s="1"/>
  <c r="J22" i="4"/>
  <c r="J44" i="4"/>
  <c r="J40" i="4"/>
  <c r="J84" i="4"/>
  <c r="J76" i="4"/>
  <c r="H64" i="4"/>
  <c r="H69" i="4"/>
  <c r="D15" i="11"/>
  <c r="J46" i="11" l="1"/>
  <c r="J24" i="11"/>
  <c r="K24" i="11"/>
  <c r="J48" i="11"/>
  <c r="J50" i="11"/>
  <c r="J35" i="11"/>
  <c r="H53" i="11"/>
  <c r="H54" i="11" s="1"/>
  <c r="L46" i="11"/>
  <c r="J30" i="11"/>
  <c r="J53" i="4"/>
  <c r="J26" i="11" s="1"/>
  <c r="J27" i="11" s="1"/>
  <c r="J25" i="11"/>
  <c r="J43" i="11"/>
  <c r="J44" i="11" s="1"/>
  <c r="L53" i="4"/>
  <c r="L26" i="11" s="1"/>
  <c r="L27" i="11" s="1"/>
  <c r="L43" i="11"/>
  <c r="L44" i="11" s="1"/>
  <c r="L25" i="11"/>
  <c r="L61" i="4"/>
  <c r="L66" i="4" s="1"/>
  <c r="L30" i="11"/>
  <c r="L48" i="11"/>
  <c r="L77" i="4"/>
  <c r="M30" i="4"/>
  <c r="M19" i="4"/>
  <c r="M31" i="4"/>
  <c r="M20" i="4"/>
  <c r="M36" i="4"/>
  <c r="M21" i="4"/>
  <c r="M12" i="4"/>
  <c r="M37" i="4"/>
  <c r="M25" i="4"/>
  <c r="M39" i="4"/>
  <c r="M27" i="4"/>
  <c r="M16" i="4"/>
  <c r="M41" i="4"/>
  <c r="M28" i="4"/>
  <c r="M33" i="11" s="1"/>
  <c r="M17" i="4"/>
  <c r="M58" i="4"/>
  <c r="M68" i="4"/>
  <c r="M78" i="4"/>
  <c r="M29" i="4"/>
  <c r="M79" i="4"/>
  <c r="M36" i="11" s="1"/>
  <c r="M26" i="4"/>
  <c r="M60" i="4"/>
  <c r="M76" i="4" s="1"/>
  <c r="M80" i="4"/>
  <c r="M54" i="4"/>
  <c r="M55" i="4"/>
  <c r="M74" i="4"/>
  <c r="M18" i="4"/>
  <c r="M38" i="4"/>
  <c r="M50" i="4"/>
  <c r="M63" i="4"/>
  <c r="M65" i="4"/>
  <c r="M83" i="4"/>
  <c r="M96" i="4"/>
  <c r="M57" i="4"/>
  <c r="M85" i="4"/>
  <c r="M90" i="4"/>
  <c r="M86" i="4"/>
  <c r="M99" i="4"/>
  <c r="M87" i="4"/>
  <c r="M14" i="4"/>
  <c r="M82" i="4"/>
  <c r="M88" i="4"/>
  <c r="M51" i="4"/>
  <c r="M89" i="4"/>
  <c r="M92" i="4"/>
  <c r="M81" i="4"/>
  <c r="M37" i="11" s="1"/>
  <c r="M94" i="4"/>
  <c r="L34" i="4"/>
  <c r="J75" i="4"/>
  <c r="J34" i="4"/>
  <c r="J69" i="4"/>
  <c r="J64" i="4"/>
  <c r="J66" i="4"/>
  <c r="J46" i="4" l="1"/>
  <c r="L46" i="4"/>
  <c r="M41" i="11"/>
  <c r="M24" i="11" s="1"/>
  <c r="L69" i="4"/>
  <c r="J77" i="4"/>
  <c r="J53" i="11"/>
  <c r="J54" i="11" s="1"/>
  <c r="M59" i="11"/>
  <c r="M34" i="11"/>
  <c r="U34" i="11"/>
  <c r="L64" i="4"/>
  <c r="M45" i="11"/>
  <c r="M47" i="11"/>
  <c r="M51" i="11" s="1"/>
  <c r="L53" i="11"/>
  <c r="L54" i="11" s="1"/>
  <c r="L35" i="11"/>
  <c r="L49" i="11"/>
  <c r="L50" i="11" s="1"/>
  <c r="M13" i="4"/>
  <c r="M31" i="11" s="1"/>
  <c r="M91" i="4"/>
  <c r="M52" i="4"/>
  <c r="M53" i="4" s="1"/>
  <c r="M22" i="4"/>
  <c r="M40" i="4"/>
  <c r="M44" i="4"/>
  <c r="M95" i="4"/>
  <c r="M97" i="4" s="1"/>
  <c r="M100" i="4" s="1"/>
  <c r="M84" i="4"/>
  <c r="M73" i="4"/>
  <c r="M56" i="4"/>
  <c r="M75" i="4" s="1"/>
  <c r="M59" i="4"/>
  <c r="M32" i="4"/>
  <c r="M34" i="4" s="1"/>
  <c r="M24" i="4"/>
  <c r="B2" i="12"/>
  <c r="B2" i="6"/>
  <c r="D10" i="11"/>
  <c r="D64" i="11" s="1"/>
  <c r="B2" i="1"/>
  <c r="B2" i="11"/>
  <c r="M43" i="11" l="1"/>
  <c r="M44" i="11" s="1"/>
  <c r="M25" i="11"/>
  <c r="M46" i="11"/>
  <c r="M48" i="11"/>
  <c r="M26" i="11"/>
  <c r="M27" i="11" s="1"/>
  <c r="M61" i="4"/>
  <c r="M69" i="4" s="1"/>
  <c r="M30" i="11"/>
  <c r="M46" i="4"/>
  <c r="M77" i="4"/>
  <c r="N36" i="4"/>
  <c r="N21" i="4"/>
  <c r="N37" i="4"/>
  <c r="N25" i="4"/>
  <c r="N38" i="4"/>
  <c r="N26" i="4"/>
  <c r="N39" i="4"/>
  <c r="N27" i="4"/>
  <c r="N16" i="4"/>
  <c r="N29" i="4"/>
  <c r="N18" i="4"/>
  <c r="N30" i="4"/>
  <c r="N19" i="4"/>
  <c r="N28" i="4"/>
  <c r="N50" i="4"/>
  <c r="N63" i="4"/>
  <c r="N12" i="4"/>
  <c r="N51" i="4"/>
  <c r="N57" i="4"/>
  <c r="N65" i="4"/>
  <c r="N58" i="4"/>
  <c r="N68" i="4"/>
  <c r="N78" i="4"/>
  <c r="N20" i="4"/>
  <c r="N79" i="4"/>
  <c r="N36" i="11" s="1"/>
  <c r="N41" i="4"/>
  <c r="N17" i="4"/>
  <c r="N60" i="4"/>
  <c r="N76" i="4" s="1"/>
  <c r="N80" i="4"/>
  <c r="N54" i="4"/>
  <c r="N14" i="4"/>
  <c r="N55" i="4"/>
  <c r="N45" i="11" s="1"/>
  <c r="N74" i="4"/>
  <c r="N89" i="4"/>
  <c r="N92" i="4"/>
  <c r="N31" i="4"/>
  <c r="N81" i="4"/>
  <c r="N37" i="11" s="1"/>
  <c r="N90" i="4"/>
  <c r="N94" i="4"/>
  <c r="N85" i="4"/>
  <c r="N96" i="4"/>
  <c r="N86" i="4"/>
  <c r="N99" i="4"/>
  <c r="N82" i="4"/>
  <c r="N88" i="4"/>
  <c r="N83" i="4"/>
  <c r="N87" i="4"/>
  <c r="E66" i="11"/>
  <c r="K66" i="11"/>
  <c r="L66" i="11" s="1"/>
  <c r="J66" i="11"/>
  <c r="H66" i="11"/>
  <c r="G66" i="11"/>
  <c r="F66" i="11"/>
  <c r="I66" i="11"/>
  <c r="N41" i="11" l="1"/>
  <c r="M64" i="4"/>
  <c r="M66" i="4"/>
  <c r="N59" i="11"/>
  <c r="V34" i="11"/>
  <c r="N34" i="11"/>
  <c r="N33" i="11"/>
  <c r="M35" i="11"/>
  <c r="M49" i="11"/>
  <c r="M50" i="11" s="1"/>
  <c r="N47" i="11"/>
  <c r="N51" i="11" s="1"/>
  <c r="N24" i="4"/>
  <c r="N84" i="4"/>
  <c r="N52" i="4"/>
  <c r="N59" i="4"/>
  <c r="N32" i="4"/>
  <c r="N91" i="4"/>
  <c r="N95" i="4"/>
  <c r="N97" i="4" s="1"/>
  <c r="N100" i="4" s="1"/>
  <c r="N73" i="4"/>
  <c r="N56" i="4"/>
  <c r="N75" i="4" s="1"/>
  <c r="O37" i="4"/>
  <c r="O25" i="4"/>
  <c r="O38" i="4"/>
  <c r="O26" i="4"/>
  <c r="O39" i="4"/>
  <c r="O27" i="4"/>
  <c r="O16" i="4"/>
  <c r="O41" i="4"/>
  <c r="O28" i="4"/>
  <c r="O17" i="4"/>
  <c r="O30" i="4"/>
  <c r="O19" i="4"/>
  <c r="O31" i="4"/>
  <c r="O20" i="4"/>
  <c r="O29" i="4"/>
  <c r="O12" i="4"/>
  <c r="O34" i="11" s="1"/>
  <c r="O50" i="4"/>
  <c r="O63" i="4"/>
  <c r="O21" i="4"/>
  <c r="O51" i="4"/>
  <c r="O57" i="4"/>
  <c r="O65" i="4"/>
  <c r="O58" i="4"/>
  <c r="O68" i="4"/>
  <c r="O78" i="4"/>
  <c r="O18" i="4"/>
  <c r="O79" i="4"/>
  <c r="O36" i="11" s="1"/>
  <c r="O14" i="4"/>
  <c r="O60" i="4"/>
  <c r="O76" i="4" s="1"/>
  <c r="O80" i="4"/>
  <c r="O36" i="4"/>
  <c r="O54" i="4"/>
  <c r="O82" i="4"/>
  <c r="O88" i="4"/>
  <c r="O87" i="4"/>
  <c r="O74" i="4"/>
  <c r="O89" i="4"/>
  <c r="O92" i="4"/>
  <c r="O81" i="4"/>
  <c r="O37" i="11" s="1"/>
  <c r="O90" i="4"/>
  <c r="O94" i="4"/>
  <c r="O96" i="4"/>
  <c r="O83" i="4"/>
  <c r="O85" i="4"/>
  <c r="O55" i="4"/>
  <c r="O45" i="11" s="1"/>
  <c r="O86" i="4"/>
  <c r="O99" i="4"/>
  <c r="N44" i="4"/>
  <c r="N40" i="4"/>
  <c r="N13" i="4"/>
  <c r="N31" i="11" s="1"/>
  <c r="N22" i="4"/>
  <c r="E75" i="4"/>
  <c r="B2" i="4"/>
  <c r="D4" i="4"/>
  <c r="N46" i="11" l="1"/>
  <c r="N24" i="11"/>
  <c r="O33" i="11"/>
  <c r="P33" i="11" s="1"/>
  <c r="N43" i="11"/>
  <c r="N44" i="11" s="1"/>
  <c r="N25" i="11"/>
  <c r="N53" i="4"/>
  <c r="N26" i="11" s="1"/>
  <c r="N27" i="11" s="1"/>
  <c r="M53" i="11"/>
  <c r="M54" i="11" s="1"/>
  <c r="O59" i="11"/>
  <c r="O41" i="11"/>
  <c r="O47" i="11"/>
  <c r="O51" i="11" s="1"/>
  <c r="N48" i="11"/>
  <c r="N61" i="4"/>
  <c r="N30" i="11"/>
  <c r="N34" i="4"/>
  <c r="O52" i="4"/>
  <c r="N77" i="4"/>
  <c r="O44" i="4"/>
  <c r="O40" i="4"/>
  <c r="O91" i="4"/>
  <c r="O95" i="4"/>
  <c r="O97" i="4" s="1"/>
  <c r="O100" i="4" s="1"/>
  <c r="O24" i="4"/>
  <c r="O32" i="4"/>
  <c r="O56" i="4"/>
  <c r="O75" i="4" s="1"/>
  <c r="O59" i="4"/>
  <c r="O73" i="4"/>
  <c r="O22" i="4"/>
  <c r="O13" i="4"/>
  <c r="O84" i="4"/>
  <c r="D21" i="1"/>
  <c r="O31" i="11" l="1"/>
  <c r="P31" i="11" s="1"/>
  <c r="P13" i="4" s="1"/>
  <c r="Q33" i="11"/>
  <c r="P28" i="4"/>
  <c r="P89" i="4" s="1"/>
  <c r="O46" i="11"/>
  <c r="O24" i="11"/>
  <c r="N46" i="4"/>
  <c r="O53" i="4"/>
  <c r="P32" i="11" s="1"/>
  <c r="P24" i="4" s="1"/>
  <c r="O43" i="11"/>
  <c r="O44" i="11" s="1"/>
  <c r="O25" i="11"/>
  <c r="P25" i="11" s="1"/>
  <c r="Q25" i="11" s="1"/>
  <c r="R25" i="11" s="1"/>
  <c r="S25" i="11" s="1"/>
  <c r="T25" i="11" s="1"/>
  <c r="U25" i="11" s="1"/>
  <c r="V25" i="11" s="1"/>
  <c r="N69" i="4"/>
  <c r="N49" i="11"/>
  <c r="N50" i="11" s="1"/>
  <c r="N35" i="11"/>
  <c r="O61" i="4"/>
  <c r="O64" i="4" s="1"/>
  <c r="O30" i="11"/>
  <c r="N66" i="4"/>
  <c r="N64" i="4"/>
  <c r="O48" i="11"/>
  <c r="O77" i="4"/>
  <c r="O34" i="4"/>
  <c r="O46" i="4" s="1"/>
  <c r="O69" i="4"/>
  <c r="E47" i="11"/>
  <c r="E51" i="11" s="1"/>
  <c r="E45" i="11"/>
  <c r="E46" i="11" s="1"/>
  <c r="E73" i="4"/>
  <c r="E77" i="4" s="1"/>
  <c r="D22" i="1"/>
  <c r="D23" i="1" s="1"/>
  <c r="Q28" i="4" l="1"/>
  <c r="R33" i="11"/>
  <c r="O66" i="4"/>
  <c r="O53" i="11" s="1"/>
  <c r="O54" i="11" s="1"/>
  <c r="O26" i="11"/>
  <c r="O27" i="11" s="1"/>
  <c r="N53" i="11"/>
  <c r="N54" i="11" s="1"/>
  <c r="O49" i="11"/>
  <c r="O50" i="11" s="1"/>
  <c r="O35" i="11"/>
  <c r="E48" i="11"/>
  <c r="E61" i="4"/>
  <c r="S33" i="11" l="1"/>
  <c r="R28" i="4"/>
  <c r="Q89" i="4"/>
  <c r="R58" i="4"/>
  <c r="R77" i="4" s="1"/>
  <c r="Q58" i="4"/>
  <c r="Q77" i="4" s="1"/>
  <c r="E35" i="11"/>
  <c r="E66" i="4"/>
  <c r="E53" i="11" s="1"/>
  <c r="E54" i="11" s="1"/>
  <c r="E64" i="4"/>
  <c r="E69" i="4"/>
  <c r="E49" i="11"/>
  <c r="R89" i="4" l="1"/>
  <c r="T33" i="11"/>
  <c r="S28" i="4"/>
  <c r="E50" i="11"/>
  <c r="S89" i="4" l="1"/>
  <c r="U33" i="11"/>
  <c r="T28" i="4"/>
  <c r="S58" i="4"/>
  <c r="S77" i="4" s="1"/>
  <c r="Q31" i="11"/>
  <c r="R31" i="11" s="1"/>
  <c r="S31" i="11" s="1"/>
  <c r="T31" i="11" s="1"/>
  <c r="U31" i="11" s="1"/>
  <c r="V31" i="11" s="1"/>
  <c r="T89" i="4" l="1"/>
  <c r="V33" i="11"/>
  <c r="V28" i="4" s="1"/>
  <c r="U28" i="4"/>
  <c r="T58" i="4"/>
  <c r="T77" i="4" s="1"/>
  <c r="Q32" i="11"/>
  <c r="R32" i="11" s="1"/>
  <c r="S32" i="11" s="1"/>
  <c r="T32" i="11" s="1"/>
  <c r="U32" i="11" s="1"/>
  <c r="V32" i="11" s="1"/>
  <c r="V58" i="4" l="1"/>
  <c r="V77" i="4" s="1"/>
  <c r="U89" i="4"/>
  <c r="V89" i="4"/>
  <c r="U58" i="4"/>
  <c r="U77" i="4" s="1"/>
  <c r="Q17" i="4"/>
  <c r="R17" i="4" s="1"/>
  <c r="S17" i="4" s="1"/>
  <c r="T17" i="4" s="1"/>
  <c r="U17" i="4" s="1"/>
  <c r="V17" i="4" s="1"/>
  <c r="Q29" i="4"/>
  <c r="R29" i="4" s="1"/>
  <c r="S29" i="4" s="1"/>
  <c r="T29" i="4" s="1"/>
  <c r="U29" i="4" s="1"/>
  <c r="V29" i="4" s="1"/>
  <c r="Q18" i="4"/>
  <c r="R18" i="4" s="1"/>
  <c r="S18" i="4" s="1"/>
  <c r="T18" i="4" s="1"/>
  <c r="U18" i="4" s="1"/>
  <c r="V18" i="4" s="1"/>
  <c r="Q30" i="4"/>
  <c r="R30" i="4" s="1"/>
  <c r="S30" i="4" s="1"/>
  <c r="T30" i="4" s="1"/>
  <c r="U30" i="4" s="1"/>
  <c r="V30" i="4" s="1"/>
  <c r="Q31" i="4"/>
  <c r="R31" i="4" s="1"/>
  <c r="S31" i="4" s="1"/>
  <c r="T31" i="4" s="1"/>
  <c r="U31" i="4" s="1"/>
  <c r="V31" i="4" s="1"/>
  <c r="Q20" i="4"/>
  <c r="R20" i="4" s="1"/>
  <c r="S20" i="4" s="1"/>
  <c r="T20" i="4" s="1"/>
  <c r="U20" i="4" s="1"/>
  <c r="V20" i="4" s="1"/>
  <c r="Q37" i="4"/>
  <c r="R37" i="4" s="1"/>
  <c r="S37" i="4" s="1"/>
  <c r="T37" i="4" s="1"/>
  <c r="U37" i="4" s="1"/>
  <c r="V37" i="4" s="1"/>
  <c r="Q38" i="4"/>
  <c r="R38" i="4" s="1"/>
  <c r="S38" i="4" s="1"/>
  <c r="T38" i="4" s="1"/>
  <c r="U38" i="4" s="1"/>
  <c r="V38" i="4" s="1"/>
  <c r="Q39" i="4"/>
  <c r="R39" i="4" s="1"/>
  <c r="S39" i="4" s="1"/>
  <c r="T39" i="4" s="1"/>
  <c r="U39" i="4" s="1"/>
  <c r="V39" i="4" s="1"/>
  <c r="Q36" i="4"/>
  <c r="R36" i="4" s="1"/>
  <c r="Q21" i="4"/>
  <c r="R21" i="4" s="1"/>
  <c r="S21" i="4" s="1"/>
  <c r="T21" i="4" s="1"/>
  <c r="U21" i="4" s="1"/>
  <c r="V21" i="4" s="1"/>
  <c r="Q14" i="4"/>
  <c r="R14" i="4" s="1"/>
  <c r="S14" i="4" s="1"/>
  <c r="T14" i="4" s="1"/>
  <c r="U14" i="4" s="1"/>
  <c r="V14" i="4" s="1"/>
  <c r="P19" i="11" l="1"/>
  <c r="P20" i="11"/>
  <c r="L10" i="11"/>
  <c r="Q6" i="4"/>
  <c r="Q25" i="4"/>
  <c r="P58" i="4"/>
  <c r="P77" i="4" s="1"/>
  <c r="S36" i="4"/>
  <c r="I11" i="12" l="1"/>
  <c r="I13" i="12" s="1"/>
  <c r="I18" i="12" s="1"/>
  <c r="I19" i="12" s="1"/>
  <c r="Q19" i="11"/>
  <c r="Q20" i="11"/>
  <c r="F60" i="11"/>
  <c r="J56" i="11"/>
  <c r="I60" i="11"/>
  <c r="K60" i="11"/>
  <c r="M60" i="11"/>
  <c r="K56" i="11"/>
  <c r="G60" i="11"/>
  <c r="F56" i="11"/>
  <c r="N60" i="11"/>
  <c r="L60" i="11"/>
  <c r="J60" i="11"/>
  <c r="H60" i="11"/>
  <c r="H56" i="11"/>
  <c r="G56" i="11"/>
  <c r="I56" i="11"/>
  <c r="O60" i="11"/>
  <c r="L56" i="11"/>
  <c r="M56" i="11"/>
  <c r="N56" i="11"/>
  <c r="O56" i="11"/>
  <c r="E60" i="11"/>
  <c r="E56" i="11"/>
  <c r="R25" i="4"/>
  <c r="R6" i="4"/>
  <c r="T36" i="4"/>
  <c r="I21" i="12"/>
  <c r="I22" i="12" s="1"/>
  <c r="R20" i="11" l="1"/>
  <c r="R19" i="11"/>
  <c r="I24" i="12"/>
  <c r="I25" i="12" s="1"/>
  <c r="D8" i="11" s="1"/>
  <c r="S6" i="4"/>
  <c r="S25" i="4"/>
  <c r="U36" i="4"/>
  <c r="V36" i="4" s="1"/>
  <c r="S20" i="11" l="1"/>
  <c r="S19" i="11"/>
  <c r="T25" i="4"/>
  <c r="T6" i="4"/>
  <c r="E7" i="6"/>
  <c r="T20" i="11" l="1"/>
  <c r="T19" i="11"/>
  <c r="U6" i="4"/>
  <c r="U25" i="4"/>
  <c r="V25" i="4" s="1"/>
  <c r="V6" i="4" l="1"/>
  <c r="U19" i="11"/>
  <c r="U20" i="11"/>
  <c r="V20" i="11" l="1"/>
  <c r="V19" i="11"/>
  <c r="K68" i="11" s="1"/>
  <c r="H68" i="11" l="1"/>
  <c r="F68" i="11"/>
  <c r="G68" i="11"/>
  <c r="E68" i="11"/>
  <c r="I68" i="11"/>
  <c r="L68" i="11"/>
  <c r="J68" i="11"/>
  <c r="E70" i="11" l="1"/>
  <c r="E8" i="6" l="1"/>
  <c r="E6" i="6"/>
  <c r="E10" i="6" l="1"/>
  <c r="B3" i="4" s="1"/>
  <c r="B3" i="11" l="1"/>
  <c r="B3" i="6"/>
  <c r="B3" i="1"/>
  <c r="B3" i="12"/>
  <c r="P75" i="4" l="1"/>
  <c r="P51" i="4" l="1"/>
  <c r="P52" i="4" s="1"/>
  <c r="P43" i="11" s="1"/>
  <c r="Q50" i="4"/>
  <c r="Q24" i="4" s="1"/>
  <c r="P41" i="11"/>
  <c r="Q41" i="11" l="1"/>
  <c r="Q36" i="11" s="1"/>
  <c r="Q79" i="4" s="1"/>
  <c r="Q51" i="4"/>
  <c r="Q52" i="4" s="1"/>
  <c r="Q13" i="4"/>
  <c r="P26" i="11"/>
  <c r="P36" i="11"/>
  <c r="P79" i="4" s="1"/>
  <c r="P42" i="11"/>
  <c r="P44" i="11"/>
  <c r="R50" i="4"/>
  <c r="R13" i="4" l="1"/>
  <c r="R24" i="4"/>
  <c r="P19" i="4"/>
  <c r="Q56" i="4" s="1"/>
  <c r="E71" i="11"/>
  <c r="Q85" i="4"/>
  <c r="F71" i="11"/>
  <c r="Q42" i="11"/>
  <c r="P85" i="4"/>
  <c r="S50" i="4"/>
  <c r="R51" i="4"/>
  <c r="R52" i="4" s="1"/>
  <c r="R41" i="11"/>
  <c r="R36" i="11" s="1"/>
  <c r="Q43" i="11"/>
  <c r="Q44" i="11" s="1"/>
  <c r="P53" i="4"/>
  <c r="P74" i="4" s="1"/>
  <c r="E72" i="11" s="1"/>
  <c r="P27" i="11"/>
  <c r="Q26" i="11" s="1"/>
  <c r="S13" i="4" l="1"/>
  <c r="S24" i="4"/>
  <c r="P27" i="4"/>
  <c r="P32" i="4" s="1"/>
  <c r="R43" i="11"/>
  <c r="R44" i="11" s="1"/>
  <c r="R79" i="4"/>
  <c r="R42" i="11"/>
  <c r="P55" i="4"/>
  <c r="Q53" i="4"/>
  <c r="Q27" i="11"/>
  <c r="R26" i="11" s="1"/>
  <c r="T50" i="4"/>
  <c r="S51" i="4"/>
  <c r="S52" i="4" s="1"/>
  <c r="S41" i="11"/>
  <c r="S36" i="11" s="1"/>
  <c r="R85" i="4" l="1"/>
  <c r="G71" i="11"/>
  <c r="T13" i="4"/>
  <c r="T24" i="4"/>
  <c r="Q27" i="4"/>
  <c r="Q32" i="4" s="1"/>
  <c r="Q55" i="4"/>
  <c r="S43" i="11"/>
  <c r="S44" i="11" s="1"/>
  <c r="R27" i="11"/>
  <c r="S26" i="11" s="1"/>
  <c r="R53" i="4"/>
  <c r="S42" i="11"/>
  <c r="S79" i="4"/>
  <c r="U50" i="4"/>
  <c r="T41" i="11"/>
  <c r="T36" i="11" s="1"/>
  <c r="T51" i="4"/>
  <c r="T52" i="4" s="1"/>
  <c r="P57" i="4"/>
  <c r="E67" i="11" s="1"/>
  <c r="P45" i="11"/>
  <c r="Q75" i="4"/>
  <c r="F70" i="11"/>
  <c r="Q19" i="4"/>
  <c r="R56" i="4" s="1"/>
  <c r="P46" i="11" l="1"/>
  <c r="H12" i="11"/>
  <c r="U13" i="4"/>
  <c r="U24" i="4"/>
  <c r="S85" i="4"/>
  <c r="H71" i="11"/>
  <c r="Q74" i="4"/>
  <c r="F72" i="11" s="1"/>
  <c r="R27" i="4"/>
  <c r="R32" i="4" s="1"/>
  <c r="R55" i="4"/>
  <c r="R45" i="11" s="1"/>
  <c r="Q57" i="4"/>
  <c r="Q45" i="11"/>
  <c r="T43" i="11"/>
  <c r="T44" i="11" s="1"/>
  <c r="S27" i="11"/>
  <c r="T26" i="11" s="1"/>
  <c r="S53" i="4"/>
  <c r="U51" i="4"/>
  <c r="U52" i="4" s="1"/>
  <c r="V50" i="4"/>
  <c r="U41" i="11"/>
  <c r="U36" i="11" s="1"/>
  <c r="R19" i="4"/>
  <c r="S56" i="4" s="1"/>
  <c r="T42" i="11"/>
  <c r="T79" i="4"/>
  <c r="P59" i="4"/>
  <c r="P73" i="4"/>
  <c r="E69" i="11"/>
  <c r="E73" i="11" s="1"/>
  <c r="E75" i="11" s="1"/>
  <c r="P47" i="11"/>
  <c r="P56" i="11" l="1"/>
  <c r="H9" i="11"/>
  <c r="V13" i="4"/>
  <c r="V24" i="4"/>
  <c r="Q46" i="11"/>
  <c r="H13" i="11"/>
  <c r="T85" i="4"/>
  <c r="I71" i="11"/>
  <c r="R46" i="11"/>
  <c r="H14" i="11"/>
  <c r="R74" i="4"/>
  <c r="G72" i="11" s="1"/>
  <c r="R57" i="4"/>
  <c r="R73" i="4" s="1"/>
  <c r="F67" i="11"/>
  <c r="F69" i="11" s="1"/>
  <c r="F73" i="11" s="1"/>
  <c r="F75" i="11" s="1"/>
  <c r="Q59" i="4"/>
  <c r="Q60" i="4" s="1"/>
  <c r="Q76" i="4" s="1"/>
  <c r="Q47" i="11"/>
  <c r="Q73" i="4"/>
  <c r="S74" i="4"/>
  <c r="H72" i="11" s="1"/>
  <c r="S55" i="4"/>
  <c r="S45" i="11" s="1"/>
  <c r="S46" i="11" s="1"/>
  <c r="U43" i="11"/>
  <c r="U44" i="11" s="1"/>
  <c r="P48" i="11"/>
  <c r="V41" i="11"/>
  <c r="V36" i="11" s="1"/>
  <c r="V51" i="4"/>
  <c r="V52" i="4" s="1"/>
  <c r="S19" i="4"/>
  <c r="T56" i="4" s="1"/>
  <c r="G70" i="11"/>
  <c r="R75" i="4"/>
  <c r="T53" i="4"/>
  <c r="T27" i="11"/>
  <c r="U26" i="11" s="1"/>
  <c r="P60" i="4"/>
  <c r="P76" i="4" s="1"/>
  <c r="P78" i="4" s="1"/>
  <c r="U79" i="4"/>
  <c r="U42" i="11"/>
  <c r="H10" i="11" l="1"/>
  <c r="U85" i="4"/>
  <c r="J71" i="11"/>
  <c r="G67" i="11"/>
  <c r="G69" i="11" s="1"/>
  <c r="G73" i="11" s="1"/>
  <c r="G75" i="11" s="1"/>
  <c r="S27" i="4"/>
  <c r="S32" i="4" s="1"/>
  <c r="R47" i="11"/>
  <c r="R59" i="4"/>
  <c r="R60" i="4" s="1"/>
  <c r="R76" i="4" s="1"/>
  <c r="R78" i="4" s="1"/>
  <c r="Q78" i="4"/>
  <c r="Q56" i="11"/>
  <c r="Q48" i="11"/>
  <c r="T27" i="4"/>
  <c r="T32" i="4" s="1"/>
  <c r="T55" i="4"/>
  <c r="T45" i="11" s="1"/>
  <c r="T46" i="11" s="1"/>
  <c r="P59" i="11"/>
  <c r="P60" i="11"/>
  <c r="Q61" i="4"/>
  <c r="Q90" i="4" s="1"/>
  <c r="S57" i="4"/>
  <c r="P61" i="4"/>
  <c r="P90" i="4" s="1"/>
  <c r="V79" i="4"/>
  <c r="V42" i="11"/>
  <c r="V43" i="11"/>
  <c r="V44" i="11" s="1"/>
  <c r="U53" i="4"/>
  <c r="U27" i="11"/>
  <c r="V26" i="11" s="1"/>
  <c r="T19" i="4"/>
  <c r="U56" i="4" s="1"/>
  <c r="S75" i="4"/>
  <c r="H70" i="11"/>
  <c r="H11" i="11" l="1"/>
  <c r="R61" i="4"/>
  <c r="V85" i="4"/>
  <c r="K71" i="11"/>
  <c r="R90" i="4"/>
  <c r="R92" i="4" s="1"/>
  <c r="R95" i="4" s="1"/>
  <c r="T74" i="4"/>
  <c r="I72" i="11" s="1"/>
  <c r="R49" i="11"/>
  <c r="R56" i="11"/>
  <c r="R48" i="11"/>
  <c r="T57" i="4"/>
  <c r="R59" i="11"/>
  <c r="R60" i="11"/>
  <c r="T47" i="11"/>
  <c r="S73" i="4"/>
  <c r="H67" i="11"/>
  <c r="H69" i="11" s="1"/>
  <c r="H73" i="11" s="1"/>
  <c r="H75" i="11" s="1"/>
  <c r="S59" i="4"/>
  <c r="S60" i="4" s="1"/>
  <c r="S76" i="4" s="1"/>
  <c r="S47" i="11"/>
  <c r="U27" i="4"/>
  <c r="U32" i="4" s="1"/>
  <c r="U55" i="4"/>
  <c r="U45" i="11" s="1"/>
  <c r="U46" i="11" s="1"/>
  <c r="Q49" i="11"/>
  <c r="Q92" i="4"/>
  <c r="Q95" i="4" s="1"/>
  <c r="Q59" i="11"/>
  <c r="Q60" i="11"/>
  <c r="P40" i="4"/>
  <c r="P41" i="4" s="1"/>
  <c r="P44" i="4" s="1"/>
  <c r="P66" i="4"/>
  <c r="P64" i="4"/>
  <c r="Q64" i="4" s="1"/>
  <c r="R64" i="4" s="1"/>
  <c r="P49" i="11"/>
  <c r="U19" i="4"/>
  <c r="V56" i="4" s="1"/>
  <c r="V27" i="11"/>
  <c r="V53" i="4"/>
  <c r="I70" i="11"/>
  <c r="T75" i="4"/>
  <c r="T56" i="11" l="1"/>
  <c r="R50" i="11"/>
  <c r="H17" i="11"/>
  <c r="Q50" i="11"/>
  <c r="H16" i="11"/>
  <c r="P50" i="11"/>
  <c r="H15" i="11"/>
  <c r="U74" i="4"/>
  <c r="J72" i="11" s="1"/>
  <c r="S78" i="4"/>
  <c r="S60" i="11" s="1"/>
  <c r="U57" i="4"/>
  <c r="U59" i="4" s="1"/>
  <c r="U60" i="4" s="1"/>
  <c r="U76" i="4" s="1"/>
  <c r="T73" i="4"/>
  <c r="I67" i="11"/>
  <c r="I69" i="11" s="1"/>
  <c r="I73" i="11" s="1"/>
  <c r="I75" i="11" s="1"/>
  <c r="T59" i="4"/>
  <c r="T60" i="4" s="1"/>
  <c r="T76" i="4" s="1"/>
  <c r="Q66" i="4"/>
  <c r="P53" i="11"/>
  <c r="P54" i="11" s="1"/>
  <c r="P92" i="4"/>
  <c r="P95" i="4" s="1"/>
  <c r="P97" i="4" s="1"/>
  <c r="P12" i="4" s="1"/>
  <c r="P16" i="4" s="1"/>
  <c r="P22" i="4" s="1"/>
  <c r="V27" i="4"/>
  <c r="V32" i="4" s="1"/>
  <c r="V55" i="4"/>
  <c r="V45" i="11" s="1"/>
  <c r="V46" i="11" s="1"/>
  <c r="S61" i="4"/>
  <c r="T48" i="11"/>
  <c r="S56" i="11"/>
  <c r="S48" i="11"/>
  <c r="Q40" i="4"/>
  <c r="Q41" i="4" s="1"/>
  <c r="Q44" i="4" s="1"/>
  <c r="U75" i="4"/>
  <c r="J70" i="11"/>
  <c r="T78" i="4" l="1"/>
  <c r="T60" i="11" s="1"/>
  <c r="T61" i="4"/>
  <c r="T90" i="4" s="1"/>
  <c r="T92" i="4" s="1"/>
  <c r="T95" i="4" s="1"/>
  <c r="P34" i="4"/>
  <c r="P46" i="4" s="1"/>
  <c r="P51" i="11"/>
  <c r="S59" i="11"/>
  <c r="S64" i="4"/>
  <c r="S90" i="4"/>
  <c r="S92" i="4" s="1"/>
  <c r="S95" i="4" s="1"/>
  <c r="R40" i="4"/>
  <c r="R41" i="4" s="1"/>
  <c r="R44" i="4" s="1"/>
  <c r="T59" i="11"/>
  <c r="U47" i="11"/>
  <c r="U73" i="4"/>
  <c r="J67" i="11"/>
  <c r="J69" i="11" s="1"/>
  <c r="J73" i="11" s="1"/>
  <c r="J75" i="11" s="1"/>
  <c r="V74" i="4"/>
  <c r="K72" i="11" s="1"/>
  <c r="V57" i="4"/>
  <c r="V59" i="4" s="1"/>
  <c r="V60" i="4" s="1"/>
  <c r="V76" i="4" s="1"/>
  <c r="Q94" i="4"/>
  <c r="Q97" i="4" s="1"/>
  <c r="R94" i="4" s="1"/>
  <c r="R97" i="4" s="1"/>
  <c r="R66" i="4"/>
  <c r="Q53" i="11"/>
  <c r="Q54" i="11" s="1"/>
  <c r="S49" i="11"/>
  <c r="S50" i="11" s="1"/>
  <c r="U78" i="4"/>
  <c r="U61" i="4"/>
  <c r="P99" i="4"/>
  <c r="P100" i="4" s="1"/>
  <c r="K70" i="11"/>
  <c r="V75" i="4"/>
  <c r="V19" i="4"/>
  <c r="T49" i="11" l="1"/>
  <c r="T50" i="11" s="1"/>
  <c r="T64" i="4"/>
  <c r="U64" i="4" s="1"/>
  <c r="U90" i="4"/>
  <c r="U92" i="4" s="1"/>
  <c r="U95" i="4" s="1"/>
  <c r="U56" i="11"/>
  <c r="U48" i="11"/>
  <c r="V73" i="4"/>
  <c r="V78" i="4" s="1"/>
  <c r="K67" i="11"/>
  <c r="V47" i="11"/>
  <c r="U59" i="11"/>
  <c r="U60" i="11"/>
  <c r="Q12" i="4"/>
  <c r="Q99" i="4" s="1"/>
  <c r="Q100" i="4" s="1"/>
  <c r="S40" i="4"/>
  <c r="S41" i="4" s="1"/>
  <c r="S44" i="4" s="1"/>
  <c r="R53" i="11"/>
  <c r="R54" i="11" s="1"/>
  <c r="S66" i="4"/>
  <c r="V61" i="4"/>
  <c r="U49" i="11"/>
  <c r="U50" i="11" s="1"/>
  <c r="S94" i="4"/>
  <c r="S97" i="4" s="1"/>
  <c r="R12" i="4"/>
  <c r="V49" i="11" l="1"/>
  <c r="V50" i="11" s="1"/>
  <c r="V90" i="4"/>
  <c r="V92" i="4" s="1"/>
  <c r="V95" i="4" s="1"/>
  <c r="Q16" i="4"/>
  <c r="Q22" i="4" s="1"/>
  <c r="L67" i="11"/>
  <c r="K69" i="11"/>
  <c r="K73" i="11" s="1"/>
  <c r="K75" i="11" s="1"/>
  <c r="T40" i="4"/>
  <c r="T41" i="4" s="1"/>
  <c r="T44" i="4" s="1"/>
  <c r="V56" i="11"/>
  <c r="V48" i="11"/>
  <c r="V59" i="11"/>
  <c r="V60" i="11"/>
  <c r="V64" i="4"/>
  <c r="T66" i="4"/>
  <c r="S53" i="11"/>
  <c r="S54" i="11" s="1"/>
  <c r="R16" i="4"/>
  <c r="R22" i="4" s="1"/>
  <c r="R99" i="4"/>
  <c r="R100" i="4" s="1"/>
  <c r="S12" i="4"/>
  <c r="T94" i="4"/>
  <c r="T97" i="4" s="1"/>
  <c r="R34" i="4" l="1"/>
  <c r="R46" i="4" s="1"/>
  <c r="R51" i="11"/>
  <c r="Q34" i="4"/>
  <c r="Q46" i="4" s="1"/>
  <c r="Q51" i="11"/>
  <c r="U40" i="4"/>
  <c r="U41" i="4" s="1"/>
  <c r="U44" i="4" s="1"/>
  <c r="L71" i="11"/>
  <c r="L70" i="11"/>
  <c r="L69" i="11"/>
  <c r="L72" i="11"/>
  <c r="T53" i="11"/>
  <c r="T54" i="11" s="1"/>
  <c r="U66" i="4"/>
  <c r="T12" i="4"/>
  <c r="U94" i="4"/>
  <c r="U97" i="4" s="1"/>
  <c r="S16" i="4"/>
  <c r="S22" i="4" s="1"/>
  <c r="S99" i="4"/>
  <c r="S100" i="4" s="1"/>
  <c r="S34" i="4" l="1"/>
  <c r="S46" i="4" s="1"/>
  <c r="S51" i="11"/>
  <c r="V40" i="4"/>
  <c r="V41" i="4" s="1"/>
  <c r="V44" i="4" s="1"/>
  <c r="L73" i="11"/>
  <c r="L74" i="11" s="1"/>
  <c r="L75" i="11" s="1"/>
  <c r="L9" i="11" s="1"/>
  <c r="V66" i="4"/>
  <c r="V53" i="11" s="1"/>
  <c r="V54" i="11" s="1"/>
  <c r="U53" i="11"/>
  <c r="U54" i="11" s="1"/>
  <c r="U12" i="4"/>
  <c r="V94" i="4"/>
  <c r="V97" i="4" s="1"/>
  <c r="V12" i="4" s="1"/>
  <c r="T99" i="4"/>
  <c r="T100" i="4" s="1"/>
  <c r="T16" i="4"/>
  <c r="T22" i="4" s="1"/>
  <c r="T34" i="4" l="1"/>
  <c r="T46" i="4" s="1"/>
  <c r="T51" i="11"/>
  <c r="S57" i="11"/>
  <c r="L57" i="11"/>
  <c r="I57" i="11"/>
  <c r="T57" i="11"/>
  <c r="U57" i="11"/>
  <c r="O57" i="11"/>
  <c r="K57" i="11"/>
  <c r="R57" i="11"/>
  <c r="G57" i="11"/>
  <c r="L14" i="11"/>
  <c r="L16" i="11" s="1"/>
  <c r="V57" i="11"/>
  <c r="J57" i="11"/>
  <c r="H57" i="11"/>
  <c r="P57" i="11"/>
  <c r="Q57" i="11"/>
  <c r="E57" i="11"/>
  <c r="M57" i="11"/>
  <c r="N57" i="11"/>
  <c r="F57" i="11"/>
  <c r="V99" i="4"/>
  <c r="V100" i="4" s="1"/>
  <c r="V16" i="4"/>
  <c r="V22" i="4" s="1"/>
  <c r="U16" i="4"/>
  <c r="U22" i="4" s="1"/>
  <c r="U99" i="4"/>
  <c r="U100" i="4" s="1"/>
  <c r="U34" i="4" l="1"/>
  <c r="U46" i="4" s="1"/>
  <c r="U51" i="11"/>
  <c r="V34" i="4"/>
  <c r="V46" i="4" s="1"/>
  <c r="V51" i="11"/>
  <c r="P10" i="11"/>
  <c r="P12" i="11"/>
  <c r="D16" i="11"/>
  <c r="D17" i="11" s="1"/>
  <c r="P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Moss</author>
  </authors>
  <commentList>
    <comment ref="E10" authorId="0" shapeId="0" xr:uid="{B50D12CF-7423-46FB-9FE4-A79E00D8E050}">
      <text>
        <r>
          <rPr>
            <sz val="9"/>
            <color indexed="81"/>
            <rFont val="Tahoma"/>
            <family val="2"/>
          </rPr>
          <t>https://www.marketwatch.com/investing/bond/tmbmkgb-20y?countrycode=bx</t>
        </r>
      </text>
    </comment>
    <comment ref="E11" authorId="0" shapeId="0" xr:uid="{0A4396EC-507E-4B26-A622-2DAEFE5A32FE}">
      <text>
        <r>
          <rPr>
            <sz val="9"/>
            <color indexed="81"/>
            <rFont val="Tahoma"/>
            <family val="2"/>
          </rPr>
          <t>https://pages.stern.nyu.edu/~adamodar/New_Home_Page/datafile/ctryprem.html</t>
        </r>
      </text>
    </comment>
    <comment ref="E16" authorId="0" shapeId="0" xr:uid="{6DE54F95-3D7C-4997-AA5D-DEBA6D36ACAB}">
      <text>
        <r>
          <rPr>
            <sz val="9"/>
            <color indexed="81"/>
            <rFont val="Tahoma"/>
            <family val="2"/>
          </rPr>
          <t>https://pages.stern.nyu.edu/~adamodar/New_Home_Page/datafile/Betas.html</t>
        </r>
      </text>
    </comment>
    <comment ref="E17" authorId="0" shapeId="0" xr:uid="{DD8E3227-1687-456B-B4E4-B05D8AF036CD}">
      <text>
        <r>
          <rPr>
            <b/>
            <sz val="9"/>
            <color indexed="81"/>
            <rFont val="Tahoma"/>
            <family val="2"/>
          </rPr>
          <t>https://aswathdamodaran.blogspot.com/2015/04/the-small-cap-premium-fact-fiction-and.html</t>
        </r>
      </text>
    </comment>
  </commentList>
</comments>
</file>

<file path=xl/sharedStrings.xml><?xml version="1.0" encoding="utf-8"?>
<sst xmlns="http://schemas.openxmlformats.org/spreadsheetml/2006/main" count="477" uniqueCount="316">
  <si>
    <t>Company name</t>
  </si>
  <si>
    <t>Ticker</t>
  </si>
  <si>
    <t>MODEL STRUCTURE</t>
  </si>
  <si>
    <t>Currency</t>
  </si>
  <si>
    <t>Company information</t>
  </si>
  <si>
    <t>Calendar</t>
  </si>
  <si>
    <t>Model date</t>
  </si>
  <si>
    <t>Q1 trading update</t>
  </si>
  <si>
    <t>Q3 trading update</t>
  </si>
  <si>
    <t>Full year results</t>
  </si>
  <si>
    <t>Half year results</t>
  </si>
  <si>
    <t>Reporting</t>
  </si>
  <si>
    <t>date</t>
  </si>
  <si>
    <t>Results</t>
  </si>
  <si>
    <t>FINANCIALS</t>
  </si>
  <si>
    <t>Date</t>
  </si>
  <si>
    <t>Trade &amp; other receivables</t>
  </si>
  <si>
    <t>Total assets</t>
  </si>
  <si>
    <t>Total liabilities</t>
  </si>
  <si>
    <t>Trade &amp; other payables</t>
  </si>
  <si>
    <t>Net assets</t>
  </si>
  <si>
    <t>Retained earnings</t>
  </si>
  <si>
    <t>Non-controlling interest</t>
  </si>
  <si>
    <t>Total equity</t>
  </si>
  <si>
    <t>Check</t>
  </si>
  <si>
    <t>CHECKS</t>
  </si>
  <si>
    <t>Financials - BS</t>
  </si>
  <si>
    <t>Financials - PnL</t>
  </si>
  <si>
    <t>Financials - CF</t>
  </si>
  <si>
    <t>Last HY results available</t>
  </si>
  <si>
    <t>P&amp;L</t>
  </si>
  <si>
    <t>BALANCE SHEET</t>
  </si>
  <si>
    <t>Revenue</t>
  </si>
  <si>
    <t>Cost of sales</t>
  </si>
  <si>
    <t>Gross profit</t>
  </si>
  <si>
    <t>Admin expenses exc. D&amp;A</t>
  </si>
  <si>
    <t>EBITDA</t>
  </si>
  <si>
    <t>Depreciation &amp; Amortisation</t>
  </si>
  <si>
    <t>EBIT</t>
  </si>
  <si>
    <t>Profit before tax</t>
  </si>
  <si>
    <t>Tax</t>
  </si>
  <si>
    <t>Profit for the period</t>
  </si>
  <si>
    <t>Expected value</t>
  </si>
  <si>
    <t>Months in period</t>
  </si>
  <si>
    <t>Interest expense</t>
  </si>
  <si>
    <t>CASHFLOW</t>
  </si>
  <si>
    <t>Other</t>
  </si>
  <si>
    <t>Operating profit</t>
  </si>
  <si>
    <t>Depreciation &amp; amortisation</t>
  </si>
  <si>
    <t>Tax paid</t>
  </si>
  <si>
    <t>Acquisitions</t>
  </si>
  <si>
    <t>Interest paid</t>
  </si>
  <si>
    <t>Share buyback</t>
  </si>
  <si>
    <t>Effective tax rate %</t>
  </si>
  <si>
    <t>Receivables days</t>
  </si>
  <si>
    <t>Dividend payout ratio %</t>
  </si>
  <si>
    <t>CAPEX spend</t>
  </si>
  <si>
    <t>WACC</t>
  </si>
  <si>
    <t>Unlevered Beta</t>
  </si>
  <si>
    <t>D/E Ratio</t>
  </si>
  <si>
    <t>Tax Rate</t>
  </si>
  <si>
    <t>Levered Beta</t>
  </si>
  <si>
    <t>Rf</t>
  </si>
  <si>
    <t>ERP</t>
  </si>
  <si>
    <t>Small Cap Premum</t>
  </si>
  <si>
    <t>Ke</t>
  </si>
  <si>
    <t>Selected Ke</t>
  </si>
  <si>
    <t>Kd</t>
  </si>
  <si>
    <t>Post-tax Kd</t>
  </si>
  <si>
    <t>Selected WACC</t>
  </si>
  <si>
    <t>Risk free rate</t>
  </si>
  <si>
    <t>Equity risk premium</t>
  </si>
  <si>
    <t>Cost of debt</t>
  </si>
  <si>
    <t>Discount Rate</t>
  </si>
  <si>
    <t>Perpetural Growth Rate</t>
  </si>
  <si>
    <t>Valuation Date</t>
  </si>
  <si>
    <t>Shares Outstanding</t>
  </si>
  <si>
    <t>Entry</t>
  </si>
  <si>
    <t>Terminal</t>
  </si>
  <si>
    <t>Year Fraction</t>
  </si>
  <si>
    <t>Less: Cash Taxes</t>
  </si>
  <si>
    <t>Plus: D&amp;A</t>
  </si>
  <si>
    <t>Less: Capex</t>
  </si>
  <si>
    <t>Less: Changes in NWC</t>
  </si>
  <si>
    <t>Market Value vs Intrinsic Value</t>
  </si>
  <si>
    <t>Unlevered FCF</t>
  </si>
  <si>
    <t>Market Value</t>
  </si>
  <si>
    <t>Intrinsic Value</t>
  </si>
  <si>
    <t>Enterprise Value</t>
  </si>
  <si>
    <t>Less: net debt</t>
  </si>
  <si>
    <t>Equity Value</t>
  </si>
  <si>
    <t>Equity Value/Share</t>
  </si>
  <si>
    <t>Inputs</t>
  </si>
  <si>
    <t>Tax rate for WACC</t>
  </si>
  <si>
    <t>Small cap premium</t>
  </si>
  <si>
    <t>Balance sheet date</t>
  </si>
  <si>
    <t>Terminal value</t>
  </si>
  <si>
    <t>Discounted cashflow</t>
  </si>
  <si>
    <t>Upside (p)</t>
  </si>
  <si>
    <t>Upside %</t>
  </si>
  <si>
    <t>30% margin of safety point</t>
  </si>
  <si>
    <t>Valuation date</t>
  </si>
  <si>
    <t>Perpetual bonds</t>
  </si>
  <si>
    <t>Add: non-operating assets</t>
  </si>
  <si>
    <t>Less: non-operating liabilities</t>
  </si>
  <si>
    <t>Time period fraction</t>
  </si>
  <si>
    <t>Other adj. to equity value</t>
  </si>
  <si>
    <t>Current Price (p)</t>
  </si>
  <si>
    <t>SUMMARY</t>
  </si>
  <si>
    <t>DISCOUNT RATE</t>
  </si>
  <si>
    <t>Net profit margin %</t>
  </si>
  <si>
    <t>EBITDA margin %</t>
  </si>
  <si>
    <t>Price to earnings ratio</t>
  </si>
  <si>
    <t>EBIT margin %</t>
  </si>
  <si>
    <t>EV to EBIT ratio - actual</t>
  </si>
  <si>
    <t>EV to EBIT ratio - implied by valuation</t>
  </si>
  <si>
    <t>Margin of safety</t>
  </si>
  <si>
    <t>Current share price</t>
  </si>
  <si>
    <t>Tax rate</t>
  </si>
  <si>
    <t>DCF equity value per share</t>
  </si>
  <si>
    <t>Multiples</t>
  </si>
  <si>
    <t>EV/EBITDA (Current)</t>
  </si>
  <si>
    <t>EV/EBITDA (Y+2)</t>
  </si>
  <si>
    <t>EV/EBITDA (Y+1)</t>
  </si>
  <si>
    <t>EV/EBIT (Y+2)</t>
  </si>
  <si>
    <t>EV/EBIT (Y+1)</t>
  </si>
  <si>
    <t>EV/EBIT (Current)</t>
  </si>
  <si>
    <t>P/E (Current)</t>
  </si>
  <si>
    <t>P/E (Y+1)</t>
  </si>
  <si>
    <t>P/E (Y+2)</t>
  </si>
  <si>
    <t>QUANT VALUE INVESTING</t>
  </si>
  <si>
    <t>METRICS</t>
  </si>
  <si>
    <t>SUMMARY FINANCIALS</t>
  </si>
  <si>
    <t>Year</t>
  </si>
  <si>
    <t>Turnover</t>
  </si>
  <si>
    <t>Pre-tax profit</t>
  </si>
  <si>
    <t>-</t>
  </si>
  <si>
    <t>Post-tax profit</t>
  </si>
  <si>
    <t>Capex</t>
  </si>
  <si>
    <t>Free cash flow</t>
  </si>
  <si>
    <t>Net borrowing</t>
  </si>
  <si>
    <t>NAV</t>
  </si>
  <si>
    <t>Like for like sales growth %</t>
  </si>
  <si>
    <t>Period Ending</t>
  </si>
  <si>
    <t>Result Type</t>
  </si>
  <si>
    <t xml:space="preserve"> </t>
  </si>
  <si>
    <t>CASH FLOWS</t>
  </si>
  <si>
    <t>Net profit</t>
  </si>
  <si>
    <t>Deferred tax</t>
  </si>
  <si>
    <t>Share of associates &amp; JVs</t>
  </si>
  <si>
    <t>Change in stock</t>
  </si>
  <si>
    <t>Change in debtors</t>
  </si>
  <si>
    <t>Change in creditors</t>
  </si>
  <si>
    <t>Other changes</t>
  </si>
  <si>
    <t>Change in working capital</t>
  </si>
  <si>
    <t>Other (operating)</t>
  </si>
  <si>
    <t>Operating cash flow</t>
  </si>
  <si>
    <t>Net cash from operations</t>
  </si>
  <si>
    <t>Capital expenditure</t>
  </si>
  <si>
    <t>Sale of fixed assets</t>
  </si>
  <si>
    <t>Sale of businesses</t>
  </si>
  <si>
    <t>Purchase of investment property</t>
  </si>
  <si>
    <t>Sale of investment property</t>
  </si>
  <si>
    <t>Purchase of investment</t>
  </si>
  <si>
    <t>Sale of investment</t>
  </si>
  <si>
    <t>Other (investing)</t>
  </si>
  <si>
    <t>Net cash from investing</t>
  </si>
  <si>
    <t>New share issues</t>
  </si>
  <si>
    <t>New borrowing</t>
  </si>
  <si>
    <t>Repayment of borrowing</t>
  </si>
  <si>
    <t>Equity dividends paid</t>
  </si>
  <si>
    <t>Preferred dividends paid</t>
  </si>
  <si>
    <t>Dividends paid in cash</t>
  </si>
  <si>
    <t>Other (financing)</t>
  </si>
  <si>
    <t>Net cash from financing</t>
  </si>
  <si>
    <t>Net change in cash</t>
  </si>
  <si>
    <t>CASH BALANCE</t>
  </si>
  <si>
    <t>Opening balance</t>
  </si>
  <si>
    <t>Foreign exchange adjustments</t>
  </si>
  <si>
    <t>Closing balance</t>
  </si>
  <si>
    <t>FREE CASH FLOW</t>
  </si>
  <si>
    <t>Dividends from joint ventures</t>
  </si>
  <si>
    <t>Repayment of leases</t>
  </si>
  <si>
    <t>Other in/out flows of cash</t>
  </si>
  <si>
    <t>Free cash flow for firm (FCFf)</t>
  </si>
  <si>
    <t>Dividends paid to minorities</t>
  </si>
  <si>
    <t>Interest received</t>
  </si>
  <si>
    <t>Free cash flow (FCF)</t>
  </si>
  <si>
    <t>PER SHARE VALUES</t>
  </si>
  <si>
    <t>Operating cash flow ps (p)</t>
  </si>
  <si>
    <t>FCF ps (p)</t>
  </si>
  <si>
    <t>FCFf ps (p)</t>
  </si>
  <si>
    <t>Capex ps (p)</t>
  </si>
  <si>
    <t>ASSETS</t>
  </si>
  <si>
    <t>Debtors trade</t>
  </si>
  <si>
    <t>Debtors other</t>
  </si>
  <si>
    <t>Prepayments</t>
  </si>
  <si>
    <t>Debtors</t>
  </si>
  <si>
    <t>Debtors finance &amp; lease</t>
  </si>
  <si>
    <t>Tax assets</t>
  </si>
  <si>
    <t>Stock &amp; WIP</t>
  </si>
  <si>
    <t>Securities</t>
  </si>
  <si>
    <t>Cash &amp; equivalents</t>
  </si>
  <si>
    <t>Other current assets</t>
  </si>
  <si>
    <t>Current assets</t>
  </si>
  <si>
    <t>Goodwill</t>
  </si>
  <si>
    <t>Other intangibles</t>
  </si>
  <si>
    <t>Intangibles</t>
  </si>
  <si>
    <t>Tangibles</t>
  </si>
  <si>
    <t>Investments</t>
  </si>
  <si>
    <t>Other non-current assets</t>
  </si>
  <si>
    <t>Non-current assets</t>
  </si>
  <si>
    <t>LIABILITIES</t>
  </si>
  <si>
    <t>Short term borrowing</t>
  </si>
  <si>
    <t>Trade creditors</t>
  </si>
  <si>
    <t>Other current liabilities</t>
  </si>
  <si>
    <t>Current liabilities</t>
  </si>
  <si>
    <t>Long term borrowing</t>
  </si>
  <si>
    <t>Other provisions</t>
  </si>
  <si>
    <t>Pension liabilities</t>
  </si>
  <si>
    <t>Other non-current liabilities</t>
  </si>
  <si>
    <t>Non-current liabilities</t>
  </si>
  <si>
    <t>EQUITY</t>
  </si>
  <si>
    <t>Ordinary shares</t>
  </si>
  <si>
    <t>Preference shares</t>
  </si>
  <si>
    <t>Share capital</t>
  </si>
  <si>
    <t>Share premium</t>
  </si>
  <si>
    <t>Treasury shares</t>
  </si>
  <si>
    <t>Total retained profit</t>
  </si>
  <si>
    <t>Other reserves</t>
  </si>
  <si>
    <t>Shareholders funds (NAV)</t>
  </si>
  <si>
    <t>Minorities</t>
  </si>
  <si>
    <t>Total liabilities + equity</t>
  </si>
  <si>
    <t>BORROWING</t>
  </si>
  <si>
    <t>Long-term leases</t>
  </si>
  <si>
    <t>Long-term borrowing</t>
  </si>
  <si>
    <t>Current leases</t>
  </si>
  <si>
    <t>Current borrowing</t>
  </si>
  <si>
    <t>Total borrowing</t>
  </si>
  <si>
    <t>OTHER DETAILS</t>
  </si>
  <si>
    <t>NTAV</t>
  </si>
  <si>
    <t>NAV ps (p)</t>
  </si>
  <si>
    <t>NTAV ps (p)</t>
  </si>
  <si>
    <t>Preference consideration</t>
  </si>
  <si>
    <t>Working capital</t>
  </si>
  <si>
    <t>Pension deficit</t>
  </si>
  <si>
    <t>CONTINUOUS OPERATIONS</t>
  </si>
  <si>
    <t>Administrative expenses</t>
  </si>
  <si>
    <t>Operating profit (standardised)</t>
  </si>
  <si>
    <t>Interest paid (net)</t>
  </si>
  <si>
    <t>Other income/expense</t>
  </si>
  <si>
    <t>Taxation</t>
  </si>
  <si>
    <t>Extraordinary items</t>
  </si>
  <si>
    <t>Discontinued operations</t>
  </si>
  <si>
    <t>Profit for financial year</t>
  </si>
  <si>
    <t>EARNINGS BEFORE INTEREST &amp; TAX</t>
  </si>
  <si>
    <t>DISCONTINUED OPERATIONS</t>
  </si>
  <si>
    <t>Discontinued post-tax profit</t>
  </si>
  <si>
    <t>Dividend (announced) ps (p)</t>
  </si>
  <si>
    <t>Dividend (adjusted) ps (p)</t>
  </si>
  <si>
    <t>EPS rep. continuous (p)</t>
  </si>
  <si>
    <t>EPS rep. discontinued (p)</t>
  </si>
  <si>
    <t>EPS reported (p)</t>
  </si>
  <si>
    <t>EPS norm. continuous (p)</t>
  </si>
  <si>
    <t>NORMALISED</t>
  </si>
  <si>
    <t>COMPANY ADJUSTED</t>
  </si>
  <si>
    <t>EPS (basic) (p)</t>
  </si>
  <si>
    <t>EPS (diluted) (p)</t>
  </si>
  <si>
    <t>Number of shares</t>
  </si>
  <si>
    <t>Average shares (adjusted)</t>
  </si>
  <si>
    <t>Average shares (diluted)</t>
  </si>
  <si>
    <t>Research &amp; development</t>
  </si>
  <si>
    <t>Rental &amp; lease expense</t>
  </si>
  <si>
    <t>Stock based compensation</t>
  </si>
  <si>
    <t>Number of employees</t>
  </si>
  <si>
    <t>Tax rate %</t>
  </si>
  <si>
    <t>Market capitalisation</t>
  </si>
  <si>
    <t>Enterprise value</t>
  </si>
  <si>
    <t>Interest expense (as % avg. borrowings)</t>
  </si>
  <si>
    <t>Total borrowings</t>
  </si>
  <si>
    <t>Cash</t>
  </si>
  <si>
    <t>Diluted EPS ($)</t>
  </si>
  <si>
    <t>Q4 IFRS</t>
  </si>
  <si>
    <t>Profit on disposals</t>
  </si>
  <si>
    <t>Interest paid CFO</t>
  </si>
  <si>
    <t>Interest received CFO</t>
  </si>
  <si>
    <t>Dividend paid CFO</t>
  </si>
  <si>
    <t>Dividend received CFO</t>
  </si>
  <si>
    <t>New leases</t>
  </si>
  <si>
    <t>Associates &amp; joint ventures</t>
  </si>
  <si>
    <t>Accruals</t>
  </si>
  <si>
    <t>EPS (p)</t>
  </si>
  <si>
    <t>Dividend (p)</t>
  </si>
  <si>
    <t>Gross profit margin</t>
  </si>
  <si>
    <t>Depreciation &amp; amortisation (as % y-1 PPE)</t>
  </si>
  <si>
    <t>Acquisition spend</t>
  </si>
  <si>
    <t>Basic EPS (p)</t>
  </si>
  <si>
    <t>Diluted EPS (p)</t>
  </si>
  <si>
    <t>Market capitalisation (£m)</t>
  </si>
  <si>
    <t>Share price (p)</t>
  </si>
  <si>
    <t>£m</t>
  </si>
  <si>
    <t>GP margin</t>
  </si>
  <si>
    <t>EV/FCFF</t>
  </si>
  <si>
    <t>FCFF</t>
  </si>
  <si>
    <t>Q2 IFRS</t>
  </si>
  <si>
    <t>Opex (as % revenue)</t>
  </si>
  <si>
    <t>Opex</t>
  </si>
  <si>
    <t xml:space="preserve">  </t>
  </si>
  <si>
    <t>LSE:AGFX</t>
  </si>
  <si>
    <t>Argentex Group Plc</t>
  </si>
  <si>
    <t>Q3 IFRS</t>
  </si>
  <si>
    <t>Revenue growth % (annualised)</t>
  </si>
  <si>
    <t>Unlevered beta - high</t>
  </si>
  <si>
    <t>Payables days (as fraction of revenue)</t>
  </si>
  <si>
    <t>ROIC %</t>
  </si>
  <si>
    <t>YoY growth (annualised)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</si>
</sst>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#,##0;&quot;(&quot;#,##0&quot;)&quot;"/>
    <numFmt numFmtId="166" formatCode="#,##0.0;&quot;(&quot;#,##0.0&quot;)&quot;"/>
    <numFmt numFmtId="167" formatCode="0.0%"/>
    <numFmt numFmtId="168" formatCode="0.0&quot;x&quot;"/>
    <numFmt numFmtId="169" formatCode="0.00&quot;x&quot;"/>
    <numFmt numFmtId="170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26"/>
      <color rgb="FF0070C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6" borderId="0"/>
  </cellStyleXfs>
  <cellXfs count="100">
    <xf numFmtId="0" fontId="0" fillId="0" borderId="0" xfId="0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2" borderId="2" xfId="1" applyFont="1" applyBorder="1"/>
    <xf numFmtId="14" fontId="0" fillId="2" borderId="2" xfId="1" applyNumberFormat="1" applyFont="1" applyBorder="1"/>
    <xf numFmtId="0" fontId="0" fillId="3" borderId="0" xfId="0" applyFill="1" applyAlignment="1">
      <alignment horizontal="right"/>
    </xf>
    <xf numFmtId="0" fontId="0" fillId="2" borderId="3" xfId="1" applyFont="1" applyBorder="1" applyAlignment="1">
      <alignment horizontal="right"/>
    </xf>
    <xf numFmtId="14" fontId="0" fillId="2" borderId="3" xfId="1" applyNumberFormat="1" applyFont="1" applyBorder="1" applyAlignment="1">
      <alignment horizontal="right"/>
    </xf>
    <xf numFmtId="16" fontId="0" fillId="2" borderId="1" xfId="1" applyNumberFormat="1" applyFont="1"/>
    <xf numFmtId="16" fontId="0" fillId="3" borderId="1" xfId="1" applyNumberFormat="1" applyFont="1" applyFill="1"/>
    <xf numFmtId="0" fontId="0" fillId="3" borderId="4" xfId="0" applyFill="1" applyBorder="1" applyAlignment="1">
      <alignment horizontal="right"/>
    </xf>
    <xf numFmtId="0" fontId="3" fillId="3" borderId="4" xfId="0" applyFont="1" applyFill="1" applyBorder="1"/>
    <xf numFmtId="0" fontId="0" fillId="3" borderId="4" xfId="0" applyFill="1" applyBorder="1"/>
    <xf numFmtId="14" fontId="0" fillId="3" borderId="0" xfId="0" applyNumberFormat="1" applyFill="1"/>
    <xf numFmtId="0" fontId="4" fillId="3" borderId="5" xfId="0" applyFont="1" applyFill="1" applyBorder="1"/>
    <xf numFmtId="43" fontId="0" fillId="3" borderId="0" xfId="2" applyFont="1" applyFill="1"/>
    <xf numFmtId="164" fontId="0" fillId="3" borderId="0" xfId="2" applyNumberFormat="1" applyFont="1" applyFill="1"/>
    <xf numFmtId="164" fontId="0" fillId="3" borderId="0" xfId="2" applyNumberFormat="1" applyFont="1" applyFill="1" applyAlignment="1">
      <alignment horizontal="right"/>
    </xf>
    <xf numFmtId="0" fontId="5" fillId="3" borderId="0" xfId="0" applyFont="1" applyFill="1"/>
    <xf numFmtId="0" fontId="7" fillId="3" borderId="0" xfId="0" applyFont="1" applyFill="1" applyAlignment="1">
      <alignment horizontal="right"/>
    </xf>
    <xf numFmtId="165" fontId="6" fillId="3" borderId="0" xfId="2" applyNumberFormat="1" applyFont="1" applyFill="1" applyAlignment="1">
      <alignment horizontal="right"/>
    </xf>
    <xf numFmtId="165" fontId="0" fillId="3" borderId="0" xfId="2" applyNumberFormat="1" applyFont="1" applyFill="1"/>
    <xf numFmtId="0" fontId="8" fillId="3" borderId="0" xfId="0" applyFont="1" applyFill="1"/>
    <xf numFmtId="14" fontId="0" fillId="3" borderId="0" xfId="1" applyNumberFormat="1" applyFont="1" applyFill="1" applyBorder="1"/>
    <xf numFmtId="14" fontId="0" fillId="3" borderId="0" xfId="1" applyNumberFormat="1" applyFont="1" applyFill="1" applyBorder="1" applyAlignment="1">
      <alignment horizontal="right"/>
    </xf>
    <xf numFmtId="166" fontId="0" fillId="3" borderId="0" xfId="2" applyNumberFormat="1" applyFont="1" applyFill="1"/>
    <xf numFmtId="167" fontId="0" fillId="3" borderId="0" xfId="3" applyNumberFormat="1" applyFont="1" applyFill="1"/>
    <xf numFmtId="166" fontId="6" fillId="3" borderId="0" xfId="2" applyNumberFormat="1" applyFont="1" applyFill="1" applyAlignment="1">
      <alignment horizontal="right"/>
    </xf>
    <xf numFmtId="43" fontId="0" fillId="0" borderId="1" xfId="2" applyFont="1" applyFill="1" applyBorder="1"/>
    <xf numFmtId="10" fontId="0" fillId="0" borderId="1" xfId="3" applyNumberFormat="1" applyFont="1" applyFill="1" applyBorder="1"/>
    <xf numFmtId="10" fontId="0" fillId="3" borderId="0" xfId="0" applyNumberFormat="1" applyFill="1"/>
    <xf numFmtId="43" fontId="0" fillId="3" borderId="1" xfId="2" applyFont="1" applyFill="1" applyBorder="1"/>
    <xf numFmtId="10" fontId="0" fillId="3" borderId="1" xfId="1" applyNumberFormat="1" applyFont="1" applyFill="1"/>
    <xf numFmtId="2" fontId="0" fillId="3" borderId="0" xfId="0" applyNumberFormat="1" applyFill="1"/>
    <xf numFmtId="164" fontId="0" fillId="3" borderId="0" xfId="0" applyNumberFormat="1" applyFill="1"/>
    <xf numFmtId="0" fontId="4" fillId="3" borderId="0" xfId="0" applyFont="1" applyFill="1"/>
    <xf numFmtId="164" fontId="4" fillId="3" borderId="0" xfId="2" applyNumberFormat="1" applyFont="1" applyFill="1"/>
    <xf numFmtId="10" fontId="0" fillId="3" borderId="1" xfId="3" applyNumberFormat="1" applyFont="1" applyFill="1" applyBorder="1"/>
    <xf numFmtId="43" fontId="0" fillId="3" borderId="0" xfId="0" applyNumberFormat="1" applyFill="1"/>
    <xf numFmtId="0" fontId="10" fillId="3" borderId="0" xfId="0" applyFont="1" applyFill="1"/>
    <xf numFmtId="9" fontId="5" fillId="3" borderId="0" xfId="3" applyFont="1" applyFill="1"/>
    <xf numFmtId="0" fontId="0" fillId="3" borderId="6" xfId="0" applyFill="1" applyBorder="1"/>
    <xf numFmtId="0" fontId="5" fillId="3" borderId="6" xfId="0" applyFont="1" applyFill="1" applyBorder="1"/>
    <xf numFmtId="167" fontId="0" fillId="6" borderId="0" xfId="3" applyNumberFormat="1" applyFont="1" applyFill="1"/>
    <xf numFmtId="0" fontId="13" fillId="3" borderId="0" xfId="0" applyFont="1" applyFill="1"/>
    <xf numFmtId="168" fontId="13" fillId="6" borderId="0" xfId="4" applyFont="1"/>
    <xf numFmtId="168" fontId="13" fillId="3" borderId="0" xfId="4" applyFont="1" applyFill="1"/>
    <xf numFmtId="170" fontId="13" fillId="6" borderId="0" xfId="2" applyNumberFormat="1" applyFont="1" applyFill="1"/>
    <xf numFmtId="170" fontId="13" fillId="3" borderId="0" xfId="2" applyNumberFormat="1" applyFont="1" applyFill="1"/>
    <xf numFmtId="0" fontId="13" fillId="3" borderId="0" xfId="0" applyFont="1" applyFill="1" applyAlignment="1">
      <alignment horizontal="right"/>
    </xf>
    <xf numFmtId="10" fontId="13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167" fontId="13" fillId="3" borderId="0" xfId="3" applyNumberFormat="1" applyFont="1" applyFill="1" applyAlignment="1">
      <alignment horizontal="right"/>
    </xf>
    <xf numFmtId="166" fontId="0" fillId="6" borderId="0" xfId="2" applyNumberFormat="1" applyFont="1" applyFill="1"/>
    <xf numFmtId="166" fontId="6" fillId="6" borderId="0" xfId="2" applyNumberFormat="1" applyFont="1" applyFill="1" applyAlignment="1">
      <alignment horizontal="right"/>
    </xf>
    <xf numFmtId="169" fontId="5" fillId="3" borderId="0" xfId="2" applyNumberFormat="1" applyFont="1" applyFill="1"/>
    <xf numFmtId="10" fontId="0" fillId="2" borderId="1" xfId="3" applyNumberFormat="1" applyFon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167" fontId="0" fillId="3" borderId="0" xfId="3" applyNumberFormat="1" applyFont="1" applyFill="1" applyProtection="1">
      <protection locked="0"/>
    </xf>
    <xf numFmtId="164" fontId="0" fillId="2" borderId="1" xfId="1" applyNumberFormat="1" applyFont="1" applyProtection="1">
      <protection locked="0"/>
    </xf>
    <xf numFmtId="10" fontId="0" fillId="2" borderId="1" xfId="2" applyNumberFormat="1" applyFont="1" applyFill="1" applyBorder="1" applyProtection="1">
      <protection locked="0"/>
    </xf>
    <xf numFmtId="43" fontId="0" fillId="2" borderId="1" xfId="2" applyFont="1" applyFill="1" applyBorder="1" applyProtection="1">
      <protection locked="0"/>
    </xf>
    <xf numFmtId="0" fontId="14" fillId="3" borderId="0" xfId="0" applyFont="1" applyFill="1"/>
    <xf numFmtId="14" fontId="0" fillId="0" borderId="0" xfId="0" applyNumberFormat="1"/>
    <xf numFmtId="43" fontId="0" fillId="0" borderId="0" xfId="2" applyFont="1"/>
    <xf numFmtId="167" fontId="0" fillId="0" borderId="0" xfId="3" applyNumberFormat="1" applyFont="1"/>
    <xf numFmtId="0" fontId="0" fillId="7" borderId="0" xfId="0" applyFill="1"/>
    <xf numFmtId="0" fontId="15" fillId="3" borderId="0" xfId="0" applyFont="1" applyFill="1"/>
    <xf numFmtId="170" fontId="0" fillId="6" borderId="0" xfId="2" applyNumberFormat="1" applyFont="1" applyFill="1"/>
    <xf numFmtId="170" fontId="0" fillId="0" borderId="0" xfId="2" applyNumberFormat="1" applyFont="1" applyFill="1"/>
    <xf numFmtId="170" fontId="0" fillId="3" borderId="0" xfId="2" applyNumberFormat="1" applyFont="1" applyFill="1" applyProtection="1">
      <protection locked="0"/>
    </xf>
    <xf numFmtId="0" fontId="0" fillId="2" borderId="3" xfId="1" quotePrefix="1" applyFont="1" applyBorder="1" applyAlignment="1">
      <alignment horizontal="right"/>
    </xf>
    <xf numFmtId="167" fontId="0" fillId="6" borderId="6" xfId="3" applyNumberFormat="1" applyFont="1" applyFill="1" applyBorder="1"/>
    <xf numFmtId="167" fontId="0" fillId="3" borderId="6" xfId="3" applyNumberFormat="1" applyFont="1" applyFill="1" applyBorder="1"/>
    <xf numFmtId="0" fontId="4" fillId="3" borderId="7" xfId="0" applyFont="1" applyFill="1" applyBorder="1"/>
    <xf numFmtId="166" fontId="0" fillId="6" borderId="5" xfId="2" applyNumberFormat="1" applyFont="1" applyFill="1" applyBorder="1"/>
    <xf numFmtId="166" fontId="0" fillId="3" borderId="5" xfId="2" applyNumberFormat="1" applyFont="1" applyFill="1" applyBorder="1"/>
    <xf numFmtId="166" fontId="0" fillId="6" borderId="0" xfId="0" applyNumberFormat="1" applyFill="1" applyAlignment="1">
      <alignment horizontal="right"/>
    </xf>
    <xf numFmtId="166" fontId="0" fillId="6" borderId="0" xfId="0" applyNumberFormat="1" applyFill="1"/>
    <xf numFmtId="166" fontId="0" fillId="3" borderId="0" xfId="0" applyNumberFormat="1" applyFill="1"/>
    <xf numFmtId="166" fontId="2" fillId="4" borderId="0" xfId="0" applyNumberFormat="1" applyFont="1" applyFill="1" applyAlignment="1">
      <alignment horizontal="right"/>
    </xf>
    <xf numFmtId="166" fontId="9" fillId="5" borderId="0" xfId="2" applyNumberFormat="1" applyFont="1" applyFill="1"/>
    <xf numFmtId="166" fontId="0" fillId="3" borderId="0" xfId="0" applyNumberFormat="1" applyFill="1" applyAlignment="1">
      <alignment horizontal="right"/>
    </xf>
    <xf numFmtId="166" fontId="4" fillId="6" borderId="0" xfId="2" applyNumberFormat="1" applyFont="1" applyFill="1" applyBorder="1"/>
    <xf numFmtId="166" fontId="4" fillId="3" borderId="0" xfId="2" applyNumberFormat="1" applyFont="1" applyFill="1" applyBorder="1"/>
    <xf numFmtId="166" fontId="4" fillId="6" borderId="7" xfId="2" applyNumberFormat="1" applyFont="1" applyFill="1" applyBorder="1"/>
    <xf numFmtId="166" fontId="4" fillId="3" borderId="7" xfId="2" applyNumberFormat="1" applyFont="1" applyFill="1" applyBorder="1"/>
    <xf numFmtId="166" fontId="0" fillId="6" borderId="0" xfId="2" applyNumberFormat="1" applyFont="1" applyFill="1" applyBorder="1"/>
    <xf numFmtId="166" fontId="0" fillId="3" borderId="0" xfId="2" applyNumberFormat="1" applyFont="1" applyFill="1" applyBorder="1"/>
    <xf numFmtId="170" fontId="0" fillId="3" borderId="0" xfId="0" applyNumberFormat="1" applyFill="1"/>
    <xf numFmtId="2" fontId="0" fillId="0" borderId="0" xfId="0" applyNumberFormat="1"/>
    <xf numFmtId="167" fontId="0" fillId="0" borderId="0" xfId="3" applyNumberFormat="1" applyFont="1" applyFill="1" applyProtection="1">
      <protection locked="0"/>
    </xf>
    <xf numFmtId="166" fontId="0" fillId="8" borderId="0" xfId="2" applyNumberFormat="1" applyFont="1" applyFill="1"/>
    <xf numFmtId="0" fontId="10" fillId="8" borderId="0" xfId="0" applyFont="1" applyFill="1"/>
    <xf numFmtId="167" fontId="0" fillId="6" borderId="0" xfId="3" applyNumberFormat="1" applyFont="1" applyFill="1" applyBorder="1"/>
    <xf numFmtId="167" fontId="0" fillId="3" borderId="0" xfId="3" applyNumberFormat="1" applyFont="1" applyFill="1" applyBorder="1"/>
    <xf numFmtId="170" fontId="0" fillId="6" borderId="0" xfId="2" applyNumberFormat="1" applyFont="1" applyFill="1" applyProtection="1">
      <protection locked="0"/>
    </xf>
  </cellXfs>
  <cellStyles count="5">
    <cellStyle name="Comma" xfId="2" builtinId="3"/>
    <cellStyle name="Normal" xfId="0" builtinId="0"/>
    <cellStyle name="Note" xfId="1" builtinId="10"/>
    <cellStyle name="Percent" xfId="3" builtinId="5"/>
    <cellStyle name="Style 1" xfId="4" xr:uid="{CAA3948D-C561-4D3F-977D-B4A6D04E8389}"/>
  </cellStyles>
  <dxfs count="12">
    <dxf>
      <font>
        <color rgb="FFFF0000"/>
      </font>
    </dxf>
    <dxf>
      <font>
        <color rgb="FF00B050"/>
      </font>
      <numFmt numFmtId="171" formatCode="&quot;OK&quot;"/>
    </dxf>
    <dxf>
      <font>
        <color rgb="FF00B050"/>
      </font>
      <numFmt numFmtId="171" formatCode="&quot;OK&quot;"/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numFmt numFmtId="171" formatCode="&quot;OK&quot;"/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3197F-FF69-4E37-AEBC-95A85D315F7C}">
  <sheetPr>
    <tabColor theme="4" tint="0.79998168889431442"/>
  </sheetPr>
  <dimension ref="A1:E23"/>
  <sheetViews>
    <sheetView workbookViewId="0">
      <selection activeCell="D20" sqref="D20"/>
    </sheetView>
  </sheetViews>
  <sheetFormatPr defaultColWidth="9.109375" defaultRowHeight="14.4" x14ac:dyDescent="0.3"/>
  <cols>
    <col min="1" max="1" width="2.6640625" style="1" customWidth="1"/>
    <col min="2" max="4" width="12.6640625" style="1" customWidth="1"/>
    <col min="5" max="5" width="12.6640625" style="8" customWidth="1"/>
    <col min="6" max="9" width="12.6640625" style="1" customWidth="1"/>
    <col min="10" max="10" width="14.33203125" style="1" bestFit="1" customWidth="1"/>
    <col min="11" max="50" width="12.6640625" style="1" customWidth="1"/>
    <col min="51" max="16384" width="9.109375" style="1"/>
  </cols>
  <sheetData>
    <row r="1" spans="1:5" ht="33.6" x14ac:dyDescent="0.65">
      <c r="B1" s="65" t="s">
        <v>130</v>
      </c>
    </row>
    <row r="2" spans="1:5" s="15" customFormat="1" ht="15" thickBot="1" x14ac:dyDescent="0.35">
      <c r="A2" s="13"/>
      <c r="B2" s="14" t="str">
        <f>UPPER(cover!E8&amp;" - "&amp;DAY(cover!E12)&amp;"/"&amp;MONTH(cover!E12)&amp;"/"&amp;YEAR(cover!E12))</f>
        <v>ARGENTEX GROUP PLC - 9/5/2023</v>
      </c>
      <c r="E2" s="13"/>
    </row>
    <row r="3" spans="1:5" ht="15" thickTop="1" x14ac:dyDescent="0.3">
      <c r="B3" s="25" t="str">
        <f>IF(checks!E10&lt;&gt;0,"**ERROR**","")</f>
        <v/>
      </c>
    </row>
    <row r="4" spans="1:5" s="3" customFormat="1" x14ac:dyDescent="0.3">
      <c r="A4" s="5"/>
      <c r="B4" s="2" t="s">
        <v>2</v>
      </c>
      <c r="E4" s="4"/>
    </row>
    <row r="6" spans="1:5" x14ac:dyDescent="0.3">
      <c r="B6" s="2" t="s">
        <v>4</v>
      </c>
      <c r="C6" s="3"/>
      <c r="D6" s="3"/>
      <c r="E6" s="4"/>
    </row>
    <row r="8" spans="1:5" x14ac:dyDescent="0.3">
      <c r="B8" s="1" t="s">
        <v>0</v>
      </c>
      <c r="D8" s="6"/>
      <c r="E8" s="9" t="s">
        <v>309</v>
      </c>
    </row>
    <row r="9" spans="1:5" x14ac:dyDescent="0.3">
      <c r="B9" s="1" t="s">
        <v>1</v>
      </c>
      <c r="D9" s="6"/>
      <c r="E9" s="9" t="s">
        <v>308</v>
      </c>
    </row>
    <row r="10" spans="1:5" x14ac:dyDescent="0.3">
      <c r="B10" s="1" t="s">
        <v>3</v>
      </c>
      <c r="D10" s="6"/>
      <c r="E10" s="74" t="s">
        <v>300</v>
      </c>
    </row>
    <row r="11" spans="1:5" x14ac:dyDescent="0.3">
      <c r="B11" s="1" t="s">
        <v>6</v>
      </c>
      <c r="D11" s="6"/>
      <c r="E11" s="10">
        <v>45055</v>
      </c>
    </row>
    <row r="12" spans="1:5" x14ac:dyDescent="0.3">
      <c r="B12" s="1" t="s">
        <v>101</v>
      </c>
      <c r="D12" s="7"/>
      <c r="E12" s="10">
        <f>E11</f>
        <v>45055</v>
      </c>
    </row>
    <row r="13" spans="1:5" x14ac:dyDescent="0.3">
      <c r="B13" s="1" t="s">
        <v>95</v>
      </c>
      <c r="D13" s="7"/>
      <c r="E13" s="10">
        <v>44926</v>
      </c>
    </row>
    <row r="14" spans="1:5" x14ac:dyDescent="0.3">
      <c r="B14" s="1" t="s">
        <v>29</v>
      </c>
      <c r="D14" s="26"/>
      <c r="E14" s="27">
        <f>E13</f>
        <v>44926</v>
      </c>
    </row>
    <row r="16" spans="1:5" x14ac:dyDescent="0.3">
      <c r="B16" s="2" t="s">
        <v>5</v>
      </c>
      <c r="C16" s="3"/>
      <c r="D16" s="3"/>
      <c r="E16" s="4"/>
    </row>
    <row r="18" spans="2:5" x14ac:dyDescent="0.3">
      <c r="D18" s="8" t="s">
        <v>11</v>
      </c>
      <c r="E18" s="8" t="s">
        <v>13</v>
      </c>
    </row>
    <row r="19" spans="2:5" x14ac:dyDescent="0.3">
      <c r="D19" s="8" t="s">
        <v>12</v>
      </c>
      <c r="E19" s="8" t="s">
        <v>12</v>
      </c>
    </row>
    <row r="20" spans="2:5" x14ac:dyDescent="0.3">
      <c r="B20" s="1" t="s">
        <v>7</v>
      </c>
      <c r="D20" s="11">
        <v>45077</v>
      </c>
      <c r="E20" s="11"/>
    </row>
    <row r="21" spans="2:5" x14ac:dyDescent="0.3">
      <c r="B21" s="1" t="s">
        <v>10</v>
      </c>
      <c r="D21" s="12">
        <f>EOMONTH(D20,3)</f>
        <v>45169</v>
      </c>
      <c r="E21" s="11"/>
    </row>
    <row r="22" spans="2:5" x14ac:dyDescent="0.3">
      <c r="B22" s="1" t="s">
        <v>8</v>
      </c>
      <c r="D22" s="12">
        <f>EOMONTH(D21,3)</f>
        <v>45260</v>
      </c>
      <c r="E22" s="11"/>
    </row>
    <row r="23" spans="2:5" x14ac:dyDescent="0.3">
      <c r="B23" s="1" t="s">
        <v>9</v>
      </c>
      <c r="D23" s="12">
        <f>EOMONTH(D22,3)</f>
        <v>45351</v>
      </c>
      <c r="E23" s="11"/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8CA1-1204-42E4-A52F-E4EB2BD409DA}">
  <sheetPr>
    <tabColor theme="6" tint="0.59999389629810485"/>
  </sheetPr>
  <dimension ref="A2:AN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6" sqref="G16"/>
    </sheetView>
  </sheetViews>
  <sheetFormatPr defaultRowHeight="14.4" x14ac:dyDescent="0.3"/>
  <cols>
    <col min="1" max="1" width="27.88671875" bestFit="1" customWidth="1"/>
    <col min="2" max="40" width="11.109375" bestFit="1" customWidth="1"/>
  </cols>
  <sheetData>
    <row r="2" spans="1:40" x14ac:dyDescent="0.3">
      <c r="A2" t="s">
        <v>133</v>
      </c>
      <c r="B2">
        <v>2017</v>
      </c>
      <c r="C2">
        <v>2018</v>
      </c>
      <c r="D2">
        <v>2019</v>
      </c>
      <c r="E2">
        <v>2020</v>
      </c>
      <c r="F2">
        <v>2020</v>
      </c>
      <c r="G2">
        <v>2021</v>
      </c>
      <c r="H2">
        <v>2021</v>
      </c>
      <c r="I2">
        <v>2022</v>
      </c>
      <c r="J2">
        <v>2022</v>
      </c>
      <c r="K2">
        <v>2022</v>
      </c>
      <c r="L2">
        <v>2022</v>
      </c>
    </row>
    <row r="3" spans="1:40" x14ac:dyDescent="0.3">
      <c r="A3" t="s">
        <v>143</v>
      </c>
      <c r="B3" s="66">
        <v>42825</v>
      </c>
      <c r="C3" s="66">
        <v>43190</v>
      </c>
      <c r="D3" s="66">
        <v>43555</v>
      </c>
      <c r="E3" s="66">
        <v>43738</v>
      </c>
      <c r="F3" s="66">
        <v>43921</v>
      </c>
      <c r="G3" s="66">
        <v>44104</v>
      </c>
      <c r="H3" s="66">
        <v>44286</v>
      </c>
      <c r="I3" s="66">
        <v>44469</v>
      </c>
      <c r="J3" s="66">
        <v>44651</v>
      </c>
      <c r="K3" s="66">
        <v>44834</v>
      </c>
      <c r="L3" s="66">
        <v>44926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0" x14ac:dyDescent="0.3">
      <c r="A4" t="s">
        <v>144</v>
      </c>
      <c r="B4" t="s">
        <v>282</v>
      </c>
      <c r="C4" t="s">
        <v>282</v>
      </c>
      <c r="D4" t="s">
        <v>282</v>
      </c>
      <c r="E4" t="s">
        <v>304</v>
      </c>
      <c r="F4" t="s">
        <v>282</v>
      </c>
      <c r="G4" t="s">
        <v>304</v>
      </c>
      <c r="H4" t="s">
        <v>282</v>
      </c>
      <c r="I4" t="s">
        <v>304</v>
      </c>
      <c r="J4" t="s">
        <v>282</v>
      </c>
      <c r="K4" t="s">
        <v>304</v>
      </c>
      <c r="L4" t="s">
        <v>310</v>
      </c>
    </row>
    <row r="5" spans="1:40" x14ac:dyDescent="0.3">
      <c r="A5" t="s">
        <v>145</v>
      </c>
    </row>
    <row r="6" spans="1:40" x14ac:dyDescent="0.3">
      <c r="A6" t="s">
        <v>146</v>
      </c>
    </row>
    <row r="7" spans="1:40" x14ac:dyDescent="0.3">
      <c r="A7" t="s">
        <v>147</v>
      </c>
      <c r="B7">
        <v>5.4</v>
      </c>
      <c r="C7">
        <v>6.2</v>
      </c>
      <c r="D7">
        <v>2.1</v>
      </c>
      <c r="E7">
        <v>3.2</v>
      </c>
      <c r="F7">
        <v>10.199999999999999</v>
      </c>
      <c r="G7">
        <v>3.4</v>
      </c>
      <c r="H7">
        <v>7.4</v>
      </c>
      <c r="I7">
        <v>4.2</v>
      </c>
      <c r="J7">
        <v>10</v>
      </c>
      <c r="K7">
        <v>6.2</v>
      </c>
      <c r="L7">
        <v>7.8</v>
      </c>
    </row>
    <row r="8" spans="1:40" x14ac:dyDescent="0.3">
      <c r="A8" t="s">
        <v>48</v>
      </c>
      <c r="B8">
        <v>0.7</v>
      </c>
      <c r="C8">
        <v>0.9</v>
      </c>
      <c r="D8">
        <v>1.2</v>
      </c>
      <c r="E8">
        <v>0.7</v>
      </c>
      <c r="F8">
        <v>1.3</v>
      </c>
      <c r="G8">
        <v>1.1000000000000001</v>
      </c>
      <c r="H8">
        <v>2.2999999999999998</v>
      </c>
      <c r="I8">
        <v>1.2</v>
      </c>
      <c r="J8">
        <v>2.5</v>
      </c>
      <c r="K8">
        <v>1.3</v>
      </c>
      <c r="L8">
        <v>2</v>
      </c>
    </row>
    <row r="9" spans="1:40" x14ac:dyDescent="0.3">
      <c r="A9" t="s">
        <v>148</v>
      </c>
    </row>
    <row r="10" spans="1:40" x14ac:dyDescent="0.3">
      <c r="A10" t="s">
        <v>149</v>
      </c>
    </row>
    <row r="11" spans="1:40" x14ac:dyDescent="0.3">
      <c r="A11" t="s">
        <v>283</v>
      </c>
    </row>
    <row r="12" spans="1:40" x14ac:dyDescent="0.3">
      <c r="A12" t="s">
        <v>150</v>
      </c>
    </row>
    <row r="13" spans="1:40" x14ac:dyDescent="0.3">
      <c r="A13" t="s">
        <v>151</v>
      </c>
      <c r="B13">
        <v>-1.8</v>
      </c>
      <c r="C13">
        <v>-4.7</v>
      </c>
      <c r="D13">
        <v>2</v>
      </c>
      <c r="E13">
        <v>0</v>
      </c>
      <c r="F13">
        <v>0.1</v>
      </c>
      <c r="G13">
        <v>-1</v>
      </c>
      <c r="H13">
        <v>-0.3</v>
      </c>
      <c r="I13">
        <v>1.5</v>
      </c>
      <c r="K13">
        <v>-0.3</v>
      </c>
      <c r="L13">
        <v>-0.8</v>
      </c>
    </row>
    <row r="14" spans="1:40" x14ac:dyDescent="0.3">
      <c r="A14" t="s">
        <v>152</v>
      </c>
      <c r="B14">
        <v>8.1999999999999993</v>
      </c>
      <c r="C14">
        <v>2.2999999999999998</v>
      </c>
      <c r="D14">
        <v>-1.1000000000000001</v>
      </c>
      <c r="E14">
        <v>5.8</v>
      </c>
      <c r="F14">
        <v>16.899999999999999</v>
      </c>
      <c r="G14">
        <v>-9.1999999999999993</v>
      </c>
      <c r="H14">
        <v>-8.6</v>
      </c>
      <c r="I14">
        <v>3</v>
      </c>
      <c r="J14">
        <v>5.8</v>
      </c>
      <c r="K14">
        <v>46.7</v>
      </c>
      <c r="L14">
        <v>-7</v>
      </c>
    </row>
    <row r="15" spans="1:40" x14ac:dyDescent="0.3">
      <c r="A15" t="s">
        <v>153</v>
      </c>
      <c r="C15">
        <v>0</v>
      </c>
      <c r="D15">
        <v>-3.9</v>
      </c>
      <c r="E15">
        <v>-2.9</v>
      </c>
      <c r="F15">
        <v>-1.5</v>
      </c>
      <c r="H15">
        <v>11.5</v>
      </c>
      <c r="I15">
        <v>-1.8</v>
      </c>
      <c r="J15">
        <v>0.5</v>
      </c>
      <c r="K15">
        <v>-36.9</v>
      </c>
      <c r="L15">
        <v>-4.9000000000000004</v>
      </c>
    </row>
    <row r="16" spans="1:40" x14ac:dyDescent="0.3">
      <c r="A16" t="s">
        <v>154</v>
      </c>
      <c r="B16">
        <v>6.5</v>
      </c>
      <c r="C16">
        <v>-2.4</v>
      </c>
      <c r="D16">
        <v>-3</v>
      </c>
      <c r="E16">
        <v>3</v>
      </c>
      <c r="F16">
        <v>15.5</v>
      </c>
      <c r="G16">
        <v>-10.199999999999999</v>
      </c>
      <c r="H16">
        <v>2.6</v>
      </c>
      <c r="I16">
        <v>2.7</v>
      </c>
      <c r="J16">
        <v>6.3</v>
      </c>
      <c r="K16">
        <v>9.5</v>
      </c>
      <c r="L16">
        <v>-12.7</v>
      </c>
    </row>
    <row r="17" spans="1:12" x14ac:dyDescent="0.3">
      <c r="A17" t="s">
        <v>155</v>
      </c>
      <c r="B17">
        <v>0.1</v>
      </c>
      <c r="C17">
        <v>0</v>
      </c>
      <c r="D17">
        <v>9.1</v>
      </c>
      <c r="E17">
        <v>3.6</v>
      </c>
      <c r="G17">
        <v>0.3</v>
      </c>
      <c r="H17">
        <v>0.6</v>
      </c>
      <c r="I17">
        <v>0.3</v>
      </c>
      <c r="J17">
        <v>0.6</v>
      </c>
      <c r="K17">
        <v>0.3</v>
      </c>
      <c r="L17">
        <v>0.4</v>
      </c>
    </row>
    <row r="18" spans="1:12" x14ac:dyDescent="0.3">
      <c r="A18" t="s">
        <v>156</v>
      </c>
      <c r="B18">
        <v>12.6</v>
      </c>
      <c r="C18">
        <v>4.7</v>
      </c>
      <c r="D18">
        <v>9.4</v>
      </c>
      <c r="E18">
        <v>10.5</v>
      </c>
      <c r="F18">
        <v>27</v>
      </c>
      <c r="G18">
        <v>-5.4</v>
      </c>
      <c r="H18">
        <v>12.9</v>
      </c>
      <c r="I18">
        <v>8.4</v>
      </c>
      <c r="J18">
        <v>19.399999999999999</v>
      </c>
      <c r="K18">
        <v>17.3</v>
      </c>
      <c r="L18">
        <v>-2.5</v>
      </c>
    </row>
    <row r="19" spans="1:12" x14ac:dyDescent="0.3">
      <c r="A19" t="s">
        <v>284</v>
      </c>
    </row>
    <row r="20" spans="1:12" x14ac:dyDescent="0.3">
      <c r="A20" t="s">
        <v>285</v>
      </c>
    </row>
    <row r="21" spans="1:12" x14ac:dyDescent="0.3">
      <c r="A21" t="s">
        <v>286</v>
      </c>
      <c r="B21">
        <v>-5.3</v>
      </c>
      <c r="C21">
        <v>-5.0999999999999996</v>
      </c>
      <c r="D21">
        <v>-6</v>
      </c>
      <c r="E21">
        <v>-1.3</v>
      </c>
    </row>
    <row r="22" spans="1:12" x14ac:dyDescent="0.3">
      <c r="A22" t="s">
        <v>287</v>
      </c>
    </row>
    <row r="23" spans="1:12" x14ac:dyDescent="0.3">
      <c r="A23" t="s">
        <v>183</v>
      </c>
      <c r="L23">
        <v>0.4</v>
      </c>
    </row>
    <row r="24" spans="1:12" x14ac:dyDescent="0.3">
      <c r="A24" t="s">
        <v>49</v>
      </c>
      <c r="H24">
        <v>-2.1</v>
      </c>
      <c r="J24">
        <v>-2.2000000000000002</v>
      </c>
      <c r="K24">
        <v>-0.9</v>
      </c>
      <c r="L24">
        <v>-2.5</v>
      </c>
    </row>
    <row r="25" spans="1:12" x14ac:dyDescent="0.3">
      <c r="A25" t="s">
        <v>157</v>
      </c>
      <c r="B25">
        <v>7.3</v>
      </c>
      <c r="C25">
        <v>-0.5</v>
      </c>
      <c r="D25">
        <v>3.5</v>
      </c>
      <c r="E25">
        <v>9.1</v>
      </c>
      <c r="F25">
        <v>27</v>
      </c>
      <c r="G25">
        <v>-5.4</v>
      </c>
      <c r="H25">
        <v>10.8</v>
      </c>
      <c r="I25">
        <v>8.4</v>
      </c>
      <c r="J25">
        <v>17.2</v>
      </c>
      <c r="K25">
        <v>16.399999999999999</v>
      </c>
      <c r="L25">
        <v>-4.5999999999999996</v>
      </c>
    </row>
    <row r="26" spans="1:12" x14ac:dyDescent="0.3">
      <c r="A26" t="s">
        <v>158</v>
      </c>
      <c r="B26">
        <v>-0.6</v>
      </c>
      <c r="C26">
        <v>-1</v>
      </c>
      <c r="D26">
        <v>-1.5</v>
      </c>
      <c r="E26">
        <v>-0.5</v>
      </c>
      <c r="F26">
        <v>-1.2</v>
      </c>
      <c r="G26">
        <v>-3</v>
      </c>
      <c r="H26">
        <v>-3.9</v>
      </c>
      <c r="I26">
        <v>-0.9</v>
      </c>
      <c r="J26">
        <v>-2.1</v>
      </c>
      <c r="K26">
        <v>-0.9</v>
      </c>
      <c r="L26">
        <v>-1.9</v>
      </c>
    </row>
    <row r="27" spans="1:12" x14ac:dyDescent="0.3">
      <c r="A27" t="s">
        <v>159</v>
      </c>
    </row>
    <row r="28" spans="1:12" x14ac:dyDescent="0.3">
      <c r="A28" t="s">
        <v>50</v>
      </c>
      <c r="E28">
        <v>-0.1</v>
      </c>
      <c r="F28">
        <v>-0.1</v>
      </c>
    </row>
    <row r="29" spans="1:12" x14ac:dyDescent="0.3">
      <c r="A29" t="s">
        <v>160</v>
      </c>
    </row>
    <row r="30" spans="1:12" x14ac:dyDescent="0.3">
      <c r="A30" t="s">
        <v>186</v>
      </c>
    </row>
    <row r="31" spans="1:12" x14ac:dyDescent="0.3">
      <c r="A31" t="s">
        <v>181</v>
      </c>
    </row>
    <row r="32" spans="1:12" x14ac:dyDescent="0.3">
      <c r="A32" t="s">
        <v>161</v>
      </c>
    </row>
    <row r="33" spans="1:12" x14ac:dyDescent="0.3">
      <c r="A33" t="s">
        <v>162</v>
      </c>
    </row>
    <row r="34" spans="1:12" x14ac:dyDescent="0.3">
      <c r="A34" t="s">
        <v>163</v>
      </c>
    </row>
    <row r="35" spans="1:12" x14ac:dyDescent="0.3">
      <c r="A35" t="s">
        <v>164</v>
      </c>
    </row>
    <row r="36" spans="1:12" x14ac:dyDescent="0.3">
      <c r="A36" t="s">
        <v>165</v>
      </c>
    </row>
    <row r="37" spans="1:12" x14ac:dyDescent="0.3">
      <c r="A37" t="s">
        <v>166</v>
      </c>
      <c r="B37">
        <v>-0.6</v>
      </c>
      <c r="C37">
        <v>-1</v>
      </c>
      <c r="D37">
        <v>-1.5</v>
      </c>
      <c r="E37">
        <v>-0.7</v>
      </c>
      <c r="F37">
        <v>-1.3</v>
      </c>
      <c r="G37">
        <v>-3</v>
      </c>
      <c r="H37">
        <v>-3.9</v>
      </c>
      <c r="I37">
        <v>-0.9</v>
      </c>
      <c r="J37">
        <v>-2.1</v>
      </c>
      <c r="K37">
        <v>-0.9</v>
      </c>
      <c r="L37">
        <v>-1.9</v>
      </c>
    </row>
    <row r="38" spans="1:12" x14ac:dyDescent="0.3">
      <c r="A38" t="s">
        <v>167</v>
      </c>
      <c r="E38">
        <v>14.1</v>
      </c>
      <c r="F38">
        <v>14.1</v>
      </c>
    </row>
    <row r="39" spans="1:12" x14ac:dyDescent="0.3">
      <c r="A39" t="s">
        <v>52</v>
      </c>
    </row>
    <row r="40" spans="1:12" x14ac:dyDescent="0.3">
      <c r="A40" t="s">
        <v>168</v>
      </c>
      <c r="D40">
        <v>2</v>
      </c>
    </row>
    <row r="41" spans="1:12" x14ac:dyDescent="0.3">
      <c r="A41" t="s">
        <v>169</v>
      </c>
      <c r="B41">
        <v>-2</v>
      </c>
      <c r="E41">
        <v>-2</v>
      </c>
      <c r="F41">
        <v>-2</v>
      </c>
    </row>
    <row r="42" spans="1:12" x14ac:dyDescent="0.3">
      <c r="A42" t="s">
        <v>170</v>
      </c>
      <c r="D42">
        <v>-2.9</v>
      </c>
      <c r="E42">
        <v>-0.4</v>
      </c>
      <c r="L42">
        <v>-1.5</v>
      </c>
    </row>
    <row r="43" spans="1:12" x14ac:dyDescent="0.3">
      <c r="A43" t="s">
        <v>171</v>
      </c>
    </row>
    <row r="44" spans="1:12" x14ac:dyDescent="0.3">
      <c r="A44" t="s">
        <v>172</v>
      </c>
      <c r="D44">
        <v>-2.9</v>
      </c>
      <c r="E44">
        <v>-0.4</v>
      </c>
      <c r="F44">
        <v>-0.5</v>
      </c>
      <c r="G44">
        <v>-2.2999999999999998</v>
      </c>
      <c r="H44">
        <v>-2.2999999999999998</v>
      </c>
      <c r="I44">
        <v>-2.2000000000000002</v>
      </c>
      <c r="J44">
        <v>-3.1</v>
      </c>
      <c r="K44">
        <v>-1.5</v>
      </c>
      <c r="L44">
        <v>-1.5</v>
      </c>
    </row>
    <row r="45" spans="1:12" x14ac:dyDescent="0.3">
      <c r="A45" t="s">
        <v>288</v>
      </c>
    </row>
    <row r="46" spans="1:12" x14ac:dyDescent="0.3">
      <c r="A46" t="s">
        <v>182</v>
      </c>
      <c r="B46">
        <v>-0.3</v>
      </c>
      <c r="C46">
        <v>-0.3</v>
      </c>
      <c r="D46">
        <v>-0.3</v>
      </c>
      <c r="E46">
        <v>-0.2</v>
      </c>
      <c r="F46">
        <v>-0.4</v>
      </c>
      <c r="G46">
        <v>-0.5</v>
      </c>
      <c r="H46">
        <v>-0.5</v>
      </c>
      <c r="J46">
        <v>-0.9</v>
      </c>
      <c r="K46">
        <v>-0.3</v>
      </c>
      <c r="L46">
        <v>-0.9</v>
      </c>
    </row>
    <row r="47" spans="1:12" x14ac:dyDescent="0.3">
      <c r="A47" t="s">
        <v>185</v>
      </c>
    </row>
    <row r="48" spans="1:12" x14ac:dyDescent="0.3">
      <c r="A48" t="s">
        <v>51</v>
      </c>
    </row>
    <row r="49" spans="1:12" x14ac:dyDescent="0.3">
      <c r="A49" t="s">
        <v>173</v>
      </c>
      <c r="B49">
        <v>2.6</v>
      </c>
      <c r="D49">
        <v>0</v>
      </c>
      <c r="E49">
        <v>-1.3</v>
      </c>
      <c r="F49">
        <v>-1.8</v>
      </c>
      <c r="G49">
        <v>-2.2999999999999998</v>
      </c>
      <c r="H49">
        <v>-2.2999999999999998</v>
      </c>
      <c r="I49">
        <v>-2.2000000000000002</v>
      </c>
      <c r="J49">
        <v>-3.1</v>
      </c>
      <c r="K49">
        <v>-1.5</v>
      </c>
    </row>
    <row r="50" spans="1:12" x14ac:dyDescent="0.3">
      <c r="A50" t="s">
        <v>174</v>
      </c>
      <c r="B50">
        <v>0.3</v>
      </c>
      <c r="C50">
        <v>-0.3</v>
      </c>
      <c r="D50">
        <v>-1.2</v>
      </c>
      <c r="E50">
        <v>10.1</v>
      </c>
      <c r="F50">
        <v>9.9</v>
      </c>
      <c r="G50">
        <v>-2.8</v>
      </c>
      <c r="H50">
        <v>-2.8</v>
      </c>
      <c r="I50">
        <v>-2.2000000000000002</v>
      </c>
      <c r="J50">
        <v>-4</v>
      </c>
      <c r="K50">
        <v>-1.8</v>
      </c>
      <c r="L50">
        <v>-2.4</v>
      </c>
    </row>
    <row r="51" spans="1:12" x14ac:dyDescent="0.3">
      <c r="A51" t="s">
        <v>175</v>
      </c>
      <c r="B51">
        <v>7</v>
      </c>
      <c r="C51">
        <v>-1.8</v>
      </c>
      <c r="D51">
        <v>0.8</v>
      </c>
      <c r="E51">
        <v>18.600000000000001</v>
      </c>
      <c r="F51">
        <v>35.6</v>
      </c>
      <c r="G51">
        <v>-11.2</v>
      </c>
      <c r="H51">
        <v>4.0999999999999996</v>
      </c>
      <c r="I51">
        <v>5.3</v>
      </c>
      <c r="J51">
        <v>11.1</v>
      </c>
      <c r="K51">
        <v>13.7</v>
      </c>
      <c r="L51">
        <v>-8.9</v>
      </c>
    </row>
    <row r="52" spans="1:12" x14ac:dyDescent="0.3">
      <c r="A52" t="s">
        <v>176</v>
      </c>
    </row>
    <row r="53" spans="1:12" x14ac:dyDescent="0.3">
      <c r="A53" t="s">
        <v>177</v>
      </c>
      <c r="B53">
        <v>7.5</v>
      </c>
      <c r="C53">
        <v>14.5</v>
      </c>
      <c r="D53">
        <v>12.7</v>
      </c>
      <c r="E53">
        <v>13.6</v>
      </c>
      <c r="F53">
        <v>13.6</v>
      </c>
      <c r="G53">
        <v>49.2</v>
      </c>
      <c r="H53">
        <v>22.7</v>
      </c>
      <c r="I53">
        <v>38.4</v>
      </c>
      <c r="J53">
        <v>26.8</v>
      </c>
      <c r="K53">
        <v>37.9</v>
      </c>
      <c r="L53">
        <v>37.9</v>
      </c>
    </row>
    <row r="54" spans="1:12" x14ac:dyDescent="0.3">
      <c r="A54" t="s">
        <v>175</v>
      </c>
      <c r="B54">
        <v>7</v>
      </c>
      <c r="C54">
        <v>-1.8</v>
      </c>
      <c r="D54">
        <v>0.8</v>
      </c>
      <c r="E54">
        <v>18.600000000000001</v>
      </c>
      <c r="F54">
        <v>35.6</v>
      </c>
      <c r="G54">
        <v>-11.2</v>
      </c>
      <c r="H54">
        <v>4.0999999999999996</v>
      </c>
      <c r="I54">
        <v>5.3</v>
      </c>
      <c r="J54">
        <v>11.1</v>
      </c>
      <c r="K54">
        <v>13.7</v>
      </c>
      <c r="L54">
        <v>-8.9</v>
      </c>
    </row>
    <row r="55" spans="1:12" x14ac:dyDescent="0.3">
      <c r="A55" t="s">
        <v>178</v>
      </c>
    </row>
    <row r="56" spans="1:12" x14ac:dyDescent="0.3">
      <c r="A56" t="s">
        <v>179</v>
      </c>
      <c r="B56">
        <v>14.5</v>
      </c>
      <c r="C56">
        <v>12.7</v>
      </c>
      <c r="D56">
        <v>13.6</v>
      </c>
      <c r="E56">
        <v>32.1</v>
      </c>
      <c r="F56">
        <v>49.2</v>
      </c>
      <c r="G56">
        <v>38</v>
      </c>
      <c r="H56">
        <v>26.8</v>
      </c>
      <c r="I56">
        <v>43.7</v>
      </c>
      <c r="J56">
        <v>37.9</v>
      </c>
      <c r="K56">
        <v>51.6</v>
      </c>
      <c r="L56">
        <v>29</v>
      </c>
    </row>
    <row r="57" spans="1:12" x14ac:dyDescent="0.3">
      <c r="A57" t="s">
        <v>180</v>
      </c>
    </row>
    <row r="58" spans="1:12" x14ac:dyDescent="0.3">
      <c r="A58" t="s">
        <v>156</v>
      </c>
      <c r="B58">
        <v>12.6</v>
      </c>
      <c r="C58">
        <v>4.7</v>
      </c>
      <c r="D58">
        <v>9.4</v>
      </c>
      <c r="E58">
        <v>10.5</v>
      </c>
      <c r="F58">
        <v>27</v>
      </c>
      <c r="G58">
        <v>-5.4</v>
      </c>
      <c r="H58">
        <v>12.9</v>
      </c>
      <c r="I58">
        <v>8.4</v>
      </c>
      <c r="J58">
        <v>19.399999999999999</v>
      </c>
      <c r="K58">
        <v>17.3</v>
      </c>
      <c r="L58">
        <v>-2.5</v>
      </c>
    </row>
    <row r="59" spans="1:12" x14ac:dyDescent="0.3">
      <c r="A59" t="s">
        <v>49</v>
      </c>
      <c r="H59">
        <v>-2.1</v>
      </c>
      <c r="J59">
        <v>-2.2000000000000002</v>
      </c>
      <c r="K59">
        <v>-0.9</v>
      </c>
      <c r="L59">
        <v>-2.5</v>
      </c>
    </row>
    <row r="60" spans="1:12" x14ac:dyDescent="0.3">
      <c r="A60" t="s">
        <v>158</v>
      </c>
      <c r="B60">
        <v>-0.6</v>
      </c>
      <c r="C60">
        <v>-1</v>
      </c>
      <c r="D60">
        <v>-1.5</v>
      </c>
      <c r="E60">
        <v>-0.5</v>
      </c>
      <c r="F60">
        <v>-1.2</v>
      </c>
      <c r="G60">
        <v>-3</v>
      </c>
      <c r="H60">
        <v>-3.9</v>
      </c>
      <c r="I60">
        <v>-0.9</v>
      </c>
      <c r="J60">
        <v>-2.1</v>
      </c>
      <c r="K60">
        <v>-0.9</v>
      </c>
      <c r="L60">
        <v>-1.9</v>
      </c>
    </row>
    <row r="61" spans="1:12" x14ac:dyDescent="0.3">
      <c r="A61" t="s">
        <v>181</v>
      </c>
    </row>
    <row r="62" spans="1:12" x14ac:dyDescent="0.3">
      <c r="A62" t="s">
        <v>182</v>
      </c>
      <c r="B62">
        <v>-0.3</v>
      </c>
      <c r="C62">
        <v>-0.3</v>
      </c>
      <c r="D62">
        <v>-0.3</v>
      </c>
      <c r="E62">
        <v>-0.2</v>
      </c>
      <c r="F62">
        <v>-0.4</v>
      </c>
      <c r="G62">
        <v>-0.5</v>
      </c>
      <c r="H62">
        <v>-0.5</v>
      </c>
      <c r="J62">
        <v>-0.9</v>
      </c>
      <c r="K62">
        <v>-0.3</v>
      </c>
      <c r="L62">
        <v>-0.9</v>
      </c>
    </row>
    <row r="63" spans="1:12" x14ac:dyDescent="0.3">
      <c r="A63" t="s">
        <v>183</v>
      </c>
      <c r="L63">
        <v>0.4</v>
      </c>
    </row>
    <row r="64" spans="1:12" x14ac:dyDescent="0.3">
      <c r="A64" t="s">
        <v>184</v>
      </c>
      <c r="B64">
        <v>11.7</v>
      </c>
      <c r="C64">
        <v>3.3</v>
      </c>
      <c r="D64">
        <v>7.7</v>
      </c>
      <c r="E64">
        <v>9.6999999999999993</v>
      </c>
      <c r="F64">
        <v>25.4</v>
      </c>
      <c r="G64">
        <v>-8.9</v>
      </c>
      <c r="H64">
        <v>6.4</v>
      </c>
      <c r="I64">
        <v>7.5</v>
      </c>
      <c r="J64">
        <v>14.2</v>
      </c>
      <c r="K64">
        <v>15.2</v>
      </c>
      <c r="L64">
        <v>-7.4</v>
      </c>
    </row>
    <row r="65" spans="1:12" x14ac:dyDescent="0.3">
      <c r="A65" t="s">
        <v>185</v>
      </c>
    </row>
    <row r="66" spans="1:12" x14ac:dyDescent="0.3">
      <c r="A66" t="s">
        <v>51</v>
      </c>
    </row>
    <row r="67" spans="1:12" x14ac:dyDescent="0.3">
      <c r="A67" t="s">
        <v>186</v>
      </c>
    </row>
    <row r="68" spans="1:12" x14ac:dyDescent="0.3">
      <c r="A68" t="s">
        <v>187</v>
      </c>
      <c r="B68">
        <v>11.7</v>
      </c>
      <c r="C68">
        <v>3.3</v>
      </c>
      <c r="D68">
        <v>7.7</v>
      </c>
      <c r="E68">
        <v>9.6999999999999993</v>
      </c>
      <c r="F68">
        <v>25.4</v>
      </c>
      <c r="G68">
        <v>-8.9</v>
      </c>
      <c r="H68">
        <v>6.4</v>
      </c>
      <c r="I68">
        <v>7.5</v>
      </c>
      <c r="J68">
        <v>14.2</v>
      </c>
      <c r="K68">
        <v>15.2</v>
      </c>
      <c r="L68">
        <v>-7.4</v>
      </c>
    </row>
    <row r="69" spans="1:12" x14ac:dyDescent="0.3">
      <c r="A69" t="s">
        <v>188</v>
      </c>
    </row>
    <row r="70" spans="1:12" x14ac:dyDescent="0.3">
      <c r="A70" t="s">
        <v>189</v>
      </c>
      <c r="B70">
        <v>11.2</v>
      </c>
      <c r="C70">
        <v>4.0999999999999996</v>
      </c>
      <c r="D70">
        <v>8.3000000000000007</v>
      </c>
      <c r="E70">
        <v>9.1999999999999993</v>
      </c>
      <c r="F70">
        <v>23.8</v>
      </c>
      <c r="G70">
        <v>-4.8</v>
      </c>
      <c r="H70">
        <v>11.4</v>
      </c>
      <c r="I70">
        <v>7.4</v>
      </c>
      <c r="J70">
        <v>17.100000000000001</v>
      </c>
      <c r="K70">
        <v>15.3</v>
      </c>
      <c r="L70">
        <v>-2.2000000000000002</v>
      </c>
    </row>
    <row r="71" spans="1:12" x14ac:dyDescent="0.3">
      <c r="A71" t="s">
        <v>190</v>
      </c>
      <c r="B71">
        <v>10.4</v>
      </c>
      <c r="C71">
        <v>3</v>
      </c>
      <c r="D71">
        <v>6.8</v>
      </c>
      <c r="E71">
        <v>8.5</v>
      </c>
      <c r="F71">
        <v>22.4</v>
      </c>
      <c r="G71">
        <v>-7.9</v>
      </c>
      <c r="H71">
        <v>5.6</v>
      </c>
      <c r="I71">
        <v>6.6</v>
      </c>
      <c r="J71">
        <v>12.5</v>
      </c>
      <c r="K71">
        <v>13.4</v>
      </c>
      <c r="L71">
        <v>-6.5</v>
      </c>
    </row>
    <row r="72" spans="1:12" x14ac:dyDescent="0.3">
      <c r="A72" t="s">
        <v>191</v>
      </c>
      <c r="B72">
        <v>10.4</v>
      </c>
      <c r="C72">
        <v>3</v>
      </c>
      <c r="D72">
        <v>6.8</v>
      </c>
      <c r="E72">
        <v>8.5</v>
      </c>
      <c r="F72">
        <v>22.4</v>
      </c>
      <c r="G72">
        <v>-7.9</v>
      </c>
      <c r="H72">
        <v>5.6</v>
      </c>
      <c r="I72">
        <v>6.6</v>
      </c>
      <c r="J72">
        <v>12.5</v>
      </c>
      <c r="K72">
        <v>13.4</v>
      </c>
      <c r="L72">
        <v>-6.5</v>
      </c>
    </row>
    <row r="73" spans="1:12" x14ac:dyDescent="0.3">
      <c r="A73" t="s">
        <v>192</v>
      </c>
      <c r="B73">
        <v>0.5</v>
      </c>
      <c r="C73">
        <v>0.9</v>
      </c>
      <c r="D73">
        <v>1.3</v>
      </c>
      <c r="E73">
        <v>0.5</v>
      </c>
      <c r="F73">
        <v>1.1000000000000001</v>
      </c>
      <c r="G73">
        <v>2.6</v>
      </c>
      <c r="H73">
        <v>3.4</v>
      </c>
      <c r="I73">
        <v>0.8</v>
      </c>
      <c r="J73">
        <v>1.9</v>
      </c>
      <c r="K73">
        <v>0.8</v>
      </c>
      <c r="L73">
        <v>1.7</v>
      </c>
    </row>
  </sheetData>
  <sheetProtection algorithmName="SHA-512" hashValue="FfPOKZjY05s6BGZ2jheVszABcJ8fek8JJib82b+SZBm9ILEtl/fI7sHJhOYzGTSokoWgG0ffGJGlNB7ZPN+XSg==" saltValue="Qokjre7uIGscxIv9zL2nhg==" spinCount="100000" sheet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D1BF-557B-48BE-A054-77E8CACF84E6}">
  <sheetPr>
    <tabColor theme="4" tint="0.79998168889431442"/>
  </sheetPr>
  <dimension ref="A1:V83"/>
  <sheetViews>
    <sheetView showGridLines="0" tabSelected="1" zoomScale="66" zoomScaleNormal="73" workbookViewId="0">
      <selection activeCell="Q27" sqref="Q27"/>
    </sheetView>
  </sheetViews>
  <sheetFormatPr defaultColWidth="9.109375" defaultRowHeight="14.4" x14ac:dyDescent="0.3"/>
  <cols>
    <col min="1" max="1" width="2.6640625" style="1" customWidth="1"/>
    <col min="2" max="3" width="12.6640625" style="1" customWidth="1"/>
    <col min="4" max="4" width="14.5546875" style="1" bestFit="1" customWidth="1"/>
    <col min="5" max="5" width="12.6640625" style="8" customWidth="1"/>
    <col min="6" max="9" width="12.6640625" style="1" customWidth="1"/>
    <col min="10" max="10" width="14.33203125" style="1" bestFit="1" customWidth="1"/>
    <col min="11" max="42" width="12.6640625" style="1" customWidth="1"/>
    <col min="43" max="16384" width="9.109375" style="1"/>
  </cols>
  <sheetData>
    <row r="1" spans="1:22" ht="35.4" customHeight="1" x14ac:dyDescent="0.65">
      <c r="B1" s="65" t="s">
        <v>130</v>
      </c>
    </row>
    <row r="2" spans="1:22" s="15" customFormat="1" ht="15" thickBot="1" x14ac:dyDescent="0.35">
      <c r="A2" s="13"/>
      <c r="B2" s="14" t="str">
        <f>UPPER(cover!E8&amp;" - "&amp;DAY(cover!E12)&amp;"/"&amp;MONTH(cover!E12)&amp;"/"&amp;YEAR(cover!E12))</f>
        <v>ARGENTEX GROUP PLC - 9/5/2023</v>
      </c>
      <c r="E2" s="13"/>
    </row>
    <row r="3" spans="1:22" ht="15" thickTop="1" x14ac:dyDescent="0.3">
      <c r="B3" s="25" t="str">
        <f>IF(checks!E10&lt;&gt;0,"**ERROR**","")</f>
        <v/>
      </c>
    </row>
    <row r="4" spans="1:22" s="3" customFormat="1" x14ac:dyDescent="0.3">
      <c r="A4" s="5"/>
      <c r="B4" s="2" t="s">
        <v>108</v>
      </c>
      <c r="E4" s="4"/>
    </row>
    <row r="5" spans="1:22" x14ac:dyDescent="0.3">
      <c r="B5" s="38"/>
    </row>
    <row r="6" spans="1:22" x14ac:dyDescent="0.3">
      <c r="B6" s="2" t="s">
        <v>108</v>
      </c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3">
      <c r="E7" s="1"/>
    </row>
    <row r="8" spans="1:22" x14ac:dyDescent="0.3">
      <c r="B8" s="1" t="s">
        <v>73</v>
      </c>
      <c r="D8" s="59">
        <f>WACC!I25</f>
        <v>0.11132</v>
      </c>
      <c r="E8" s="1"/>
      <c r="F8" s="47" t="s">
        <v>120</v>
      </c>
      <c r="J8" s="2" t="s">
        <v>87</v>
      </c>
      <c r="K8" s="2"/>
      <c r="L8" s="2"/>
      <c r="N8" s="2" t="s">
        <v>84</v>
      </c>
      <c r="O8" s="2"/>
      <c r="P8" s="2"/>
    </row>
    <row r="9" spans="1:22" x14ac:dyDescent="0.3">
      <c r="B9" s="1" t="s">
        <v>74</v>
      </c>
      <c r="D9" s="59">
        <v>0.02</v>
      </c>
      <c r="E9" s="1"/>
      <c r="F9" s="21" t="s">
        <v>126</v>
      </c>
      <c r="G9" s="21"/>
      <c r="H9" s="58">
        <f>($D$13*$D$12/10^8-SUM($L$10:$L$13))/($P$47)</f>
        <v>9.7712738301559785</v>
      </c>
      <c r="J9" s="1" t="s">
        <v>88</v>
      </c>
      <c r="L9" s="37">
        <f>SUM(E75:L75)</f>
        <v>134.89037232118756</v>
      </c>
      <c r="N9" s="1" t="s">
        <v>86</v>
      </c>
      <c r="P9" s="36">
        <f>WACC!E14</f>
        <v>118.5</v>
      </c>
    </row>
    <row r="10" spans="1:22" x14ac:dyDescent="0.3">
      <c r="B10" s="1" t="s">
        <v>75</v>
      </c>
      <c r="D10" s="16">
        <f>cover!E12</f>
        <v>45055</v>
      </c>
      <c r="E10" s="1"/>
      <c r="F10" s="21" t="s">
        <v>125</v>
      </c>
      <c r="G10" s="21"/>
      <c r="H10" s="58">
        <f>($D$13*$D$12/10^8-SUM($L$10:$L$13))/($Q$47)</f>
        <v>9.4636514151256232</v>
      </c>
      <c r="J10" s="1" t="s">
        <v>89</v>
      </c>
      <c r="L10" s="37">
        <f>INDEX('detailed-financials'!$12:$12,MATCH(summary!$D$11,'detailed-financials'!$6:$6,0))-INDEX('detailed-financials'!$25:$25,MATCH(summary!$D$11,'detailed-financials'!$6:$6,0))-INDEX('detailed-financials'!$26:$26,MATCH(summary!$D$11,'detailed-financials'!$6:$6,0))-INDEX('detailed-financials'!$28:$28,MATCH(summary!$D$11,'detailed-financials'!$6:$6,0))-INDEX('detailed-financials'!$29:$29,MATCH(summary!$D$11,'detailed-financials'!$6:$6,0))</f>
        <v>21.5</v>
      </c>
      <c r="N10" s="1" t="s">
        <v>98</v>
      </c>
      <c r="P10" s="36">
        <f>L16-P9</f>
        <v>19.53210266653798</v>
      </c>
    </row>
    <row r="11" spans="1:22" x14ac:dyDescent="0.3">
      <c r="B11" s="1" t="s">
        <v>95</v>
      </c>
      <c r="D11" s="16">
        <f>cover!E13</f>
        <v>44926</v>
      </c>
      <c r="F11" s="21" t="s">
        <v>124</v>
      </c>
      <c r="G11" s="21"/>
      <c r="H11" s="58">
        <f>($D$13*$D$12/10^8-SUM($L$10:$L$13))/($R$47)</f>
        <v>9.1234178980567844</v>
      </c>
      <c r="J11" s="1" t="s">
        <v>103</v>
      </c>
      <c r="L11" s="92"/>
      <c r="N11" s="1" t="s">
        <v>99</v>
      </c>
      <c r="P11" s="29">
        <f>1-(P9/L16)</f>
        <v>0.14150405803586297</v>
      </c>
    </row>
    <row r="12" spans="1:22" x14ac:dyDescent="0.3">
      <c r="B12" s="1" t="s">
        <v>107</v>
      </c>
      <c r="D12" s="41">
        <f>WACC!E14</f>
        <v>118.5</v>
      </c>
      <c r="F12" s="21" t="s">
        <v>121</v>
      </c>
      <c r="G12" s="47"/>
      <c r="H12" s="58">
        <f>($D$13*$D$12/10^8-SUM($L$10:$L$13))/$P$45</f>
        <v>7.9745756718529002</v>
      </c>
      <c r="I12" s="53"/>
      <c r="J12" s="1" t="s">
        <v>104</v>
      </c>
      <c r="L12" s="92"/>
      <c r="N12" s="1" t="s">
        <v>100</v>
      </c>
      <c r="P12" s="18">
        <f>L16*0.7</f>
        <v>96.622471866576575</v>
      </c>
    </row>
    <row r="13" spans="1:22" x14ac:dyDescent="0.3">
      <c r="B13" s="1" t="s">
        <v>76</v>
      </c>
      <c r="D13" s="60">
        <f>'detailed-financials'!O65*10^6</f>
        <v>113300000</v>
      </c>
      <c r="F13" s="21" t="s">
        <v>123</v>
      </c>
      <c r="G13" s="21"/>
      <c r="H13" s="58">
        <f>($D$13*$D$12/10^8-SUM($L$10:$L$13))/$Q$45</f>
        <v>7.5948339731932375</v>
      </c>
      <c r="J13" s="1" t="s">
        <v>106</v>
      </c>
      <c r="L13" s="62"/>
    </row>
    <row r="14" spans="1:22" x14ac:dyDescent="0.3">
      <c r="B14" s="38"/>
      <c r="F14" s="21" t="s">
        <v>122</v>
      </c>
      <c r="G14" s="21"/>
      <c r="H14" s="58">
        <f>($D$13*$D$12/10^8-SUM($L$10:$L$13))/$R$45</f>
        <v>7.2331752125649906</v>
      </c>
      <c r="J14" s="38" t="s">
        <v>90</v>
      </c>
      <c r="K14" s="38"/>
      <c r="L14" s="39">
        <f>SUM(L9:L13)</f>
        <v>156.39037232118756</v>
      </c>
    </row>
    <row r="15" spans="1:22" x14ac:dyDescent="0.3">
      <c r="B15" s="38" t="s">
        <v>117</v>
      </c>
      <c r="D15" s="54">
        <f>summary!P9</f>
        <v>118.5</v>
      </c>
      <c r="E15" s="1"/>
      <c r="F15" s="21" t="s">
        <v>127</v>
      </c>
      <c r="G15" s="21"/>
      <c r="H15" s="58">
        <f>($D$13*$D$12/10^8)/($P$49)</f>
        <v>15.512478336221836</v>
      </c>
    </row>
    <row r="16" spans="1:22" x14ac:dyDescent="0.3">
      <c r="B16" s="38" t="s">
        <v>119</v>
      </c>
      <c r="D16" s="54">
        <f>summary!L16</f>
        <v>138.03210266653798</v>
      </c>
      <c r="E16" s="1"/>
      <c r="F16" s="21" t="s">
        <v>128</v>
      </c>
      <c r="G16" s="21"/>
      <c r="H16" s="58">
        <f>($D$13*$D$12/10^8)/($Q$49)</f>
        <v>15.024109457011084</v>
      </c>
      <c r="J16" s="1" t="s">
        <v>91</v>
      </c>
      <c r="L16" s="19">
        <f>L14/D13*10^8</f>
        <v>138.03210266653798</v>
      </c>
    </row>
    <row r="17" spans="2:22" x14ac:dyDescent="0.3">
      <c r="B17" s="47" t="s">
        <v>116</v>
      </c>
      <c r="D17" s="55">
        <f>1-D15/D16</f>
        <v>0.14150405803586297</v>
      </c>
      <c r="E17" s="1"/>
      <c r="F17" s="21" t="s">
        <v>129</v>
      </c>
      <c r="G17" s="21"/>
      <c r="H17" s="58">
        <f>($D$13*$D$12/10^8)/($R$49)</f>
        <v>14.483968513821218</v>
      </c>
    </row>
    <row r="18" spans="2:22" x14ac:dyDescent="0.3">
      <c r="B18" s="38"/>
    </row>
    <row r="19" spans="2:22" x14ac:dyDescent="0.3">
      <c r="B19" s="1" t="s">
        <v>15</v>
      </c>
      <c r="E19" s="16">
        <f>'detailed-financials'!E6</f>
        <v>42825</v>
      </c>
      <c r="F19" s="16">
        <f>'detailed-financials'!F6</f>
        <v>43190</v>
      </c>
      <c r="G19" s="16">
        <f>'detailed-financials'!G6</f>
        <v>43555</v>
      </c>
      <c r="H19" s="16">
        <f>'detailed-financials'!H6</f>
        <v>43738</v>
      </c>
      <c r="I19" s="16">
        <f>'detailed-financials'!I6</f>
        <v>43921</v>
      </c>
      <c r="J19" s="16">
        <f>'detailed-financials'!J6</f>
        <v>44104</v>
      </c>
      <c r="K19" s="16">
        <f>'detailed-financials'!K6</f>
        <v>44286</v>
      </c>
      <c r="L19" s="16">
        <f>'detailed-financials'!L6</f>
        <v>44469</v>
      </c>
      <c r="M19" s="16">
        <f>'detailed-financials'!M6</f>
        <v>44651</v>
      </c>
      <c r="N19" s="16">
        <f>'detailed-financials'!N6</f>
        <v>44834</v>
      </c>
      <c r="O19" s="16">
        <f>'detailed-financials'!O6</f>
        <v>44926</v>
      </c>
      <c r="P19" s="16">
        <f>'detailed-financials'!P6</f>
        <v>45291</v>
      </c>
      <c r="Q19" s="16">
        <f>'detailed-financials'!Q6</f>
        <v>45657</v>
      </c>
      <c r="R19" s="16">
        <f>'detailed-financials'!R6</f>
        <v>46022</v>
      </c>
      <c r="S19" s="16">
        <f>'detailed-financials'!S6</f>
        <v>46387</v>
      </c>
      <c r="T19" s="16">
        <f>'detailed-financials'!T6</f>
        <v>46752</v>
      </c>
      <c r="U19" s="16">
        <f>'detailed-financials'!U6</f>
        <v>47118</v>
      </c>
      <c r="V19" s="16">
        <f>'detailed-financials'!V6</f>
        <v>47483</v>
      </c>
    </row>
    <row r="20" spans="2:22" x14ac:dyDescent="0.3">
      <c r="B20" s="1" t="s">
        <v>43</v>
      </c>
      <c r="E20" s="1">
        <f>'detailed-financials'!E7</f>
        <v>12</v>
      </c>
      <c r="F20" s="1">
        <f>'detailed-financials'!F7</f>
        <v>12</v>
      </c>
      <c r="G20" s="1">
        <f>'detailed-financials'!G7</f>
        <v>12</v>
      </c>
      <c r="H20" s="1">
        <f>'detailed-financials'!H7</f>
        <v>6</v>
      </c>
      <c r="I20" s="1">
        <f>'detailed-financials'!I7</f>
        <v>12</v>
      </c>
      <c r="J20" s="1">
        <f>'detailed-financials'!J7</f>
        <v>6</v>
      </c>
      <c r="K20" s="1">
        <f>'detailed-financials'!K7</f>
        <v>12</v>
      </c>
      <c r="L20" s="1">
        <f>'detailed-financials'!L7</f>
        <v>6</v>
      </c>
      <c r="M20" s="1">
        <f>'detailed-financials'!M7</f>
        <v>12</v>
      </c>
      <c r="N20" s="1">
        <f>'detailed-financials'!N7</f>
        <v>6</v>
      </c>
      <c r="O20" s="1">
        <f>'detailed-financials'!O7</f>
        <v>9</v>
      </c>
      <c r="P20" s="1">
        <f>'detailed-financials'!P7</f>
        <v>12</v>
      </c>
      <c r="Q20" s="1">
        <f>'detailed-financials'!Q7</f>
        <v>12</v>
      </c>
      <c r="R20" s="1">
        <f>'detailed-financials'!R7</f>
        <v>12</v>
      </c>
      <c r="S20" s="1">
        <f>'detailed-financials'!S7</f>
        <v>12</v>
      </c>
      <c r="T20" s="1">
        <f>'detailed-financials'!T7</f>
        <v>12</v>
      </c>
      <c r="U20" s="1">
        <f>'detailed-financials'!U7</f>
        <v>12</v>
      </c>
      <c r="V20" s="1">
        <f>'detailed-financials'!V7</f>
        <v>12</v>
      </c>
    </row>
    <row r="21" spans="2:22" x14ac:dyDescent="0.3">
      <c r="B21" s="3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22" x14ac:dyDescent="0.3">
      <c r="B22" s="2" t="s">
        <v>131</v>
      </c>
      <c r="C22" s="3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5"/>
      <c r="S22" s="5"/>
      <c r="T22" s="5"/>
      <c r="U22" s="5"/>
      <c r="V22" s="5"/>
    </row>
    <row r="23" spans="2:22" x14ac:dyDescent="0.3"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22" x14ac:dyDescent="0.3">
      <c r="B24" s="1" t="s">
        <v>311</v>
      </c>
      <c r="E24" s="46"/>
      <c r="F24" s="46">
        <f t="shared" ref="F24:O24" si="0">(F41/F20)/(E41/E20)-1</f>
        <v>0.24528301886792447</v>
      </c>
      <c r="G24" s="46">
        <f t="shared" si="0"/>
        <v>0.65909090909090917</v>
      </c>
      <c r="H24" s="46">
        <f t="shared" si="0"/>
        <v>0.26027397260273988</v>
      </c>
      <c r="I24" s="46">
        <f t="shared" si="0"/>
        <v>5.0724637681159201E-2</v>
      </c>
      <c r="J24" s="46">
        <f t="shared" si="0"/>
        <v>-0.18620689655172407</v>
      </c>
      <c r="K24" s="46">
        <f t="shared" si="0"/>
        <v>0.19067796610169485</v>
      </c>
      <c r="L24" s="46">
        <f t="shared" si="0"/>
        <v>0.11743772241992878</v>
      </c>
      <c r="M24" s="46">
        <f t="shared" si="0"/>
        <v>9.8726114649681618E-2</v>
      </c>
      <c r="N24" s="46">
        <f t="shared" si="0"/>
        <v>0.58840579710144914</v>
      </c>
      <c r="O24" s="46">
        <f t="shared" si="0"/>
        <v>-2.4330900243308973E-3</v>
      </c>
      <c r="P24" s="61">
        <v>0.05</v>
      </c>
      <c r="Q24" s="61">
        <v>0.05</v>
      </c>
      <c r="R24" s="61">
        <v>0.05</v>
      </c>
      <c r="S24" s="61">
        <v>0.05</v>
      </c>
      <c r="T24" s="61">
        <v>0.05</v>
      </c>
      <c r="U24" s="61">
        <v>0.05</v>
      </c>
      <c r="V24" s="61">
        <v>0.05</v>
      </c>
    </row>
    <row r="25" spans="2:22" x14ac:dyDescent="0.3">
      <c r="B25" s="1" t="s">
        <v>293</v>
      </c>
      <c r="E25" s="46">
        <f>'detailed-financials'!E52/'detailed-financials'!E50</f>
        <v>0.97169811320754707</v>
      </c>
      <c r="F25" s="46">
        <f>'detailed-financials'!F52/'detailed-financials'!F50</f>
        <v>0.97727272727272718</v>
      </c>
      <c r="G25" s="46">
        <f>'detailed-financials'!G52/'detailed-financials'!G50</f>
        <v>0.98173515981735171</v>
      </c>
      <c r="H25" s="46">
        <f>'detailed-financials'!H52/'detailed-financials'!H50</f>
        <v>0.98550724637681164</v>
      </c>
      <c r="I25" s="46">
        <f>'detailed-financials'!I52/'detailed-financials'!I50</f>
        <v>0.98620689655172422</v>
      </c>
      <c r="J25" s="46">
        <f>'detailed-financials'!J52/'detailed-financials'!J50</f>
        <v>0.98305084745762716</v>
      </c>
      <c r="K25" s="46">
        <f>'detailed-financials'!K52/'detailed-financials'!K50</f>
        <v>0.98220640569395012</v>
      </c>
      <c r="L25" s="46">
        <f>'detailed-financials'!L52/'detailed-financials'!L50</f>
        <v>0.98726114649681529</v>
      </c>
      <c r="M25" s="46">
        <f>'detailed-financials'!M52/'detailed-financials'!M50</f>
        <v>0.9826086956521739</v>
      </c>
      <c r="N25" s="46">
        <f>'detailed-financials'!N52/'detailed-financials'!N50</f>
        <v>0.96715328467153294</v>
      </c>
      <c r="O25" s="46">
        <f>'detailed-financials'!O52/'detailed-financials'!O50</f>
        <v>0.95609756097560983</v>
      </c>
      <c r="P25" s="61">
        <f>O25</f>
        <v>0.95609756097560983</v>
      </c>
      <c r="Q25" s="61">
        <f t="shared" ref="Q25:V25" si="1">P25</f>
        <v>0.95609756097560983</v>
      </c>
      <c r="R25" s="46">
        <f t="shared" si="1"/>
        <v>0.95609756097560983</v>
      </c>
      <c r="S25" s="46">
        <f t="shared" si="1"/>
        <v>0.95609756097560983</v>
      </c>
      <c r="T25" s="46">
        <f t="shared" si="1"/>
        <v>0.95609756097560983</v>
      </c>
      <c r="U25" s="46">
        <f t="shared" si="1"/>
        <v>0.95609756097560983</v>
      </c>
      <c r="V25" s="46">
        <f t="shared" si="1"/>
        <v>0.95609756097560983</v>
      </c>
    </row>
    <row r="26" spans="2:22" x14ac:dyDescent="0.3">
      <c r="B26" s="1" t="s">
        <v>306</v>
      </c>
      <c r="E26" s="71">
        <f>-'detailed-financials'!E53</f>
        <v>4.0999999999999988</v>
      </c>
      <c r="F26" s="71">
        <f>-'detailed-financials'!F53</f>
        <v>5.7999999999999989</v>
      </c>
      <c r="G26" s="71">
        <f>-'detailed-financials'!G53</f>
        <v>18.100000000000001</v>
      </c>
      <c r="H26" s="71">
        <f>-'detailed-financials'!H53</f>
        <v>8.1000000000000014</v>
      </c>
      <c r="I26" s="71">
        <f>-'detailed-financials'!I53</f>
        <v>16.900000000000002</v>
      </c>
      <c r="J26" s="71">
        <f>-'detailed-financials'!J53</f>
        <v>6.9000000000000012</v>
      </c>
      <c r="K26" s="71">
        <f>-'detailed-financials'!K53</f>
        <v>17.5</v>
      </c>
      <c r="L26" s="71">
        <f>-'detailed-financials'!L53</f>
        <v>9.9</v>
      </c>
      <c r="M26" s="71">
        <f>-'detailed-financials'!M53</f>
        <v>21</v>
      </c>
      <c r="N26" s="71">
        <f>-'detailed-financials'!N53</f>
        <v>18.8</v>
      </c>
      <c r="O26" s="71">
        <f>-'detailed-financials'!O53</f>
        <v>29.1</v>
      </c>
      <c r="P26" s="71">
        <f t="shared" ref="P26:V26" si="2">O27*P41</f>
        <v>40.740000000000009</v>
      </c>
      <c r="Q26" s="71">
        <f t="shared" si="2"/>
        <v>42.777000000000015</v>
      </c>
      <c r="R26" s="71">
        <f t="shared" si="2"/>
        <v>44.91585000000002</v>
      </c>
      <c r="S26" s="71">
        <f t="shared" si="2"/>
        <v>47.161642500000028</v>
      </c>
      <c r="T26" s="71">
        <f t="shared" si="2"/>
        <v>49.519724625000023</v>
      </c>
      <c r="U26" s="71">
        <f t="shared" si="2"/>
        <v>51.995710856250028</v>
      </c>
      <c r="V26" s="71">
        <f t="shared" si="2"/>
        <v>54.595496399062533</v>
      </c>
    </row>
    <row r="27" spans="2:22" x14ac:dyDescent="0.3">
      <c r="B27" s="1" t="s">
        <v>305</v>
      </c>
      <c r="E27" s="46">
        <f>E26/'detailed-financials'!E50</f>
        <v>0.38679245283018859</v>
      </c>
      <c r="F27" s="46">
        <f>F26/'detailed-financials'!F50</f>
        <v>0.43939393939393934</v>
      </c>
      <c r="G27" s="46">
        <f>G26/'detailed-financials'!G50</f>
        <v>0.8264840182648403</v>
      </c>
      <c r="H27" s="46">
        <f>H26/'detailed-financials'!H50</f>
        <v>0.58695652173913049</v>
      </c>
      <c r="I27" s="46">
        <f>I26/'detailed-financials'!I50</f>
        <v>0.58275862068965523</v>
      </c>
      <c r="J27" s="46">
        <f>J26/'detailed-financials'!J50</f>
        <v>0.58474576271186451</v>
      </c>
      <c r="K27" s="46">
        <f>K26/'detailed-financials'!K50</f>
        <v>0.62277580071174377</v>
      </c>
      <c r="L27" s="46">
        <f>L26/'detailed-financials'!L50</f>
        <v>0.63057324840764339</v>
      </c>
      <c r="M27" s="46">
        <f>M26/'detailed-financials'!M50</f>
        <v>0.60869565217391308</v>
      </c>
      <c r="N27" s="46">
        <f>N26/'detailed-financials'!N50</f>
        <v>0.68613138686131392</v>
      </c>
      <c r="O27" s="46">
        <f>O26/'detailed-financials'!O50</f>
        <v>0.70975609756097569</v>
      </c>
      <c r="P27" s="94">
        <f>P26/'detailed-financials'!P50</f>
        <v>0.70975609756097569</v>
      </c>
      <c r="Q27" s="94">
        <f>Q26/'detailed-financials'!Q50</f>
        <v>0.7097560975609758</v>
      </c>
      <c r="R27" s="94">
        <f>R26/'detailed-financials'!R50</f>
        <v>0.7097560975609758</v>
      </c>
      <c r="S27" s="94">
        <f>S26/'detailed-financials'!S50</f>
        <v>0.7097560975609758</v>
      </c>
      <c r="T27" s="94">
        <f>T26/'detailed-financials'!T50</f>
        <v>0.7097560975609758</v>
      </c>
      <c r="U27" s="94">
        <f>U26/'detailed-financials'!U50</f>
        <v>0.7097560975609758</v>
      </c>
      <c r="V27" s="94">
        <f>V26/'detailed-financials'!V50</f>
        <v>0.7097560975609758</v>
      </c>
    </row>
    <row r="28" spans="2:22" x14ac:dyDescent="0.3">
      <c r="B28" s="1" t="s">
        <v>294</v>
      </c>
      <c r="E28" s="46"/>
      <c r="F28" s="46">
        <f>(-'detailed-financials'!F56*12/'detailed-financials'!F7)/('detailed-financials'!E18+'detailed-financials'!E19)</f>
        <v>0.49999999999999978</v>
      </c>
      <c r="G28" s="46">
        <f>(-'detailed-financials'!G56*12/'detailed-financials'!G7)/('detailed-financials'!F18+'detailed-financials'!F19)</f>
        <v>0.63157894736842091</v>
      </c>
      <c r="H28" s="46">
        <f>(-'detailed-financials'!H56*12/'detailed-financials'!H7)/('detailed-financials'!G18+'detailed-financials'!G19)</f>
        <v>0.60869565217391319</v>
      </c>
      <c r="I28" s="46">
        <f>(-'detailed-financials'!I56*12/'detailed-financials'!I7)/('detailed-financials'!H18+'detailed-financials'!H19)</f>
        <v>0.61904761904761851</v>
      </c>
      <c r="J28" s="46">
        <f>(-'detailed-financials'!J56*12/'detailed-financials'!J7)/('detailed-financials'!I18+'detailed-financials'!I19)</f>
        <v>1.1000000000000001</v>
      </c>
      <c r="K28" s="46">
        <f>(-'detailed-financials'!K56*12/'detailed-financials'!K7)/('detailed-financials'!J18+'detailed-financials'!J19)</f>
        <v>0.20535714285714282</v>
      </c>
      <c r="L28" s="46">
        <f>(-'detailed-financials'!L56*12/'detailed-financials'!L7)/('detailed-financials'!K18+'detailed-financials'!K19)</f>
        <v>0.2222222222222221</v>
      </c>
      <c r="M28" s="46">
        <f>(-'detailed-financials'!M56*12/'detailed-financials'!M7)/('detailed-financials'!L18+'detailed-financials'!L19)</f>
        <v>0.23809523809523808</v>
      </c>
      <c r="N28" s="46">
        <f>(-'detailed-financials'!N56*12/'detailed-financials'!N7)/('detailed-financials'!M18+'detailed-financials'!M19)</f>
        <v>0.24761904761904757</v>
      </c>
      <c r="O28" s="46">
        <f>(-'detailed-financials'!O56*12/'detailed-financials'!O7)/('detailed-financials'!N18+'detailed-financials'!N19)</f>
        <v>0.264026402640264</v>
      </c>
      <c r="P28" s="61">
        <v>0.25</v>
      </c>
      <c r="Q28" s="61">
        <f>P28</f>
        <v>0.25</v>
      </c>
      <c r="R28" s="61">
        <f t="shared" ref="R28:U29" si="3">Q28</f>
        <v>0.25</v>
      </c>
      <c r="S28" s="61">
        <f t="shared" si="3"/>
        <v>0.25</v>
      </c>
      <c r="T28" s="61">
        <f t="shared" si="3"/>
        <v>0.25</v>
      </c>
      <c r="U28" s="61">
        <f t="shared" si="3"/>
        <v>0.25</v>
      </c>
      <c r="V28" s="61">
        <f t="shared" ref="V28:V29" si="4">U28</f>
        <v>0.25</v>
      </c>
    </row>
    <row r="29" spans="2:22" x14ac:dyDescent="0.3">
      <c r="B29" s="1" t="s">
        <v>278</v>
      </c>
      <c r="E29" s="46"/>
      <c r="F29" s="46">
        <f>-'detailed-financials'!F58/(AVERAGE('detailed-financials'!E26:F26)+AVERAGE('detailed-financials'!E28:F28))/F20*12</f>
        <v>0</v>
      </c>
      <c r="G29" s="46">
        <f>-'detailed-financials'!G58/(AVERAGE('detailed-financials'!F26:G26)+AVERAGE('detailed-financials'!F28:G28))/G20*12</f>
        <v>2.3809523809523808E-2</v>
      </c>
      <c r="H29" s="46">
        <f>-'detailed-financials'!H58/(AVERAGE('detailed-financials'!G26:H26)+AVERAGE('detailed-financials'!G28:H28))/H20*12</f>
        <v>2.5806451612903226E-2</v>
      </c>
      <c r="I29" s="46">
        <f>-'detailed-financials'!I58/(AVERAGE('detailed-financials'!H26:I26)+AVERAGE('detailed-financials'!H28:I28))/I20*12</f>
        <v>2.5974025974025976E-2</v>
      </c>
      <c r="J29" s="46">
        <f>-'detailed-financials'!J58/(AVERAGE('detailed-financials'!I26:J26)+AVERAGE('detailed-financials'!I28:J28))/J20*12</f>
        <v>6.8376068376068383E-2</v>
      </c>
      <c r="K29" s="46">
        <f>-'detailed-financials'!K58/(AVERAGE('detailed-financials'!J26:K26)+AVERAGE('detailed-financials'!J28:K28))/K20*12</f>
        <v>4.301075268817204E-2</v>
      </c>
      <c r="L29" s="46">
        <f>-'detailed-financials'!L58/(AVERAGE('detailed-financials'!K26:L26)+AVERAGE('detailed-financials'!K28:L28))/L20*12</f>
        <v>4.6783625730994149E-2</v>
      </c>
      <c r="M29" s="46">
        <f>-'detailed-financials'!M58/(AVERAGE('detailed-financials'!L26:M26)+AVERAGE('detailed-financials'!L28:M28))/M20*12</f>
        <v>4.761904761904763E-2</v>
      </c>
      <c r="N29" s="46">
        <f>-'detailed-financials'!N58/(AVERAGE('detailed-financials'!M26:N26)+AVERAGE('detailed-financials'!M28:N28))/N20*12</f>
        <v>6.0606060606060608E-2</v>
      </c>
      <c r="O29" s="46">
        <f>-'detailed-financials'!O58/(AVERAGE('detailed-financials'!N26:O26)+AVERAGE('detailed-financials'!N28:O28))/O20*12</f>
        <v>6.2992125984251968E-2</v>
      </c>
      <c r="P29" s="46">
        <f>O29</f>
        <v>6.2992125984251968E-2</v>
      </c>
      <c r="Q29" s="46">
        <f t="shared" ref="Q29" si="5">P29</f>
        <v>6.2992125984251968E-2</v>
      </c>
      <c r="R29" s="46">
        <f t="shared" si="3"/>
        <v>6.2992125984251968E-2</v>
      </c>
      <c r="S29" s="46">
        <f t="shared" si="3"/>
        <v>6.2992125984251968E-2</v>
      </c>
      <c r="T29" s="46">
        <f t="shared" si="3"/>
        <v>6.2992125984251968E-2</v>
      </c>
      <c r="U29" s="46">
        <f t="shared" si="3"/>
        <v>6.2992125984251968E-2</v>
      </c>
      <c r="V29" s="46">
        <f t="shared" si="4"/>
        <v>6.2992125984251968E-2</v>
      </c>
    </row>
    <row r="30" spans="2:22" x14ac:dyDescent="0.3">
      <c r="B30" s="1" t="s">
        <v>53</v>
      </c>
      <c r="E30" s="46">
        <f>-'detailed-financials'!E60/'detailed-financials'!E59</f>
        <v>0</v>
      </c>
      <c r="F30" s="46">
        <f>-'detailed-financials'!F60/'detailed-financials'!F59</f>
        <v>0</v>
      </c>
      <c r="G30" s="46">
        <f>-'detailed-financials'!G60/'detailed-financials'!G59</f>
        <v>0</v>
      </c>
      <c r="H30" s="46">
        <f>-'detailed-financials'!H60/'detailed-financials'!H59</f>
        <v>0.21951219512195119</v>
      </c>
      <c r="I30" s="46">
        <f>-'detailed-financials'!I60/'detailed-financials'!I59</f>
        <v>0.20388349514563106</v>
      </c>
      <c r="J30" s="46">
        <f>-'detailed-financials'!J60/'detailed-financials'!J59</f>
        <v>0.20588235294117646</v>
      </c>
      <c r="K30" s="46">
        <f>-'detailed-financials'!K60/'detailed-financials'!K59</f>
        <v>0.20270270270270271</v>
      </c>
      <c r="L30" s="46">
        <f>-'detailed-financials'!L60/'detailed-financials'!L59</f>
        <v>0.21428571428571427</v>
      </c>
      <c r="M30" s="46">
        <f>-'detailed-financials'!M60/'detailed-financials'!M59</f>
        <v>0.26</v>
      </c>
      <c r="N30" s="46">
        <f>-'detailed-financials'!N60/'detailed-financials'!N59</f>
        <v>0.17741935483870969</v>
      </c>
      <c r="O30" s="46">
        <f>-'detailed-financials'!O60/'detailed-financials'!O59</f>
        <v>0.10256410256410257</v>
      </c>
      <c r="P30" s="61">
        <v>0.25</v>
      </c>
      <c r="Q30" s="61">
        <v>0.25</v>
      </c>
      <c r="R30" s="61">
        <v>0.25</v>
      </c>
      <c r="S30" s="61">
        <v>0.25</v>
      </c>
      <c r="T30" s="61">
        <v>0.25</v>
      </c>
      <c r="U30" s="61">
        <v>0.25</v>
      </c>
      <c r="V30" s="61">
        <v>0.25</v>
      </c>
    </row>
    <row r="31" spans="2:22" x14ac:dyDescent="0.3">
      <c r="B31" s="1" t="s">
        <v>54</v>
      </c>
      <c r="E31" s="71">
        <f>'detailed-financials'!E13/'detailed-financials'!E50*365*(E20/12)</f>
        <v>323.67924528301882</v>
      </c>
      <c r="F31" s="71">
        <f>'detailed-financials'!F13/'detailed-financials'!F50*365*(F20/12)</f>
        <v>412.00757575757586</v>
      </c>
      <c r="G31" s="71">
        <f>'detailed-financials'!G13/'detailed-financials'!G50*365*(G20/12)</f>
        <v>176.66666666666669</v>
      </c>
      <c r="H31" s="71">
        <f>'detailed-financials'!H13/'detailed-financials'!H50*365*(H20/12)</f>
        <v>158.69565217391303</v>
      </c>
      <c r="I31" s="71">
        <f>'detailed-financials'!I13/'detailed-financials'!I50*365*(I20/12)</f>
        <v>771.5344827586207</v>
      </c>
      <c r="J31" s="71">
        <f>'detailed-financials'!J13/'detailed-financials'!J50*365*(J20/12)</f>
        <v>250.55084745762701</v>
      </c>
      <c r="K31" s="71">
        <f>'detailed-financials'!K13/'detailed-financials'!K50*365*(K20/12)</f>
        <v>661.15658362989325</v>
      </c>
      <c r="L31" s="71">
        <f>'detailed-financials'!L13/'detailed-financials'!L50*365*(L20/12)</f>
        <v>258.05732484076441</v>
      </c>
      <c r="M31" s="71">
        <f>'detailed-financials'!M13/'detailed-financials'!M50*365*(M20/12)</f>
        <v>484.55072463768118</v>
      </c>
      <c r="N31" s="71">
        <f>'detailed-financials'!N13/'detailed-financials'!N50*365*(N20/12)</f>
        <v>941.14051094890522</v>
      </c>
      <c r="O31" s="71">
        <f>'detailed-financials'!O13/'detailed-financials'!O50*365*(O20/12)</f>
        <v>458.69817073170736</v>
      </c>
      <c r="P31" s="73">
        <f>AVERAGE(E31:O31)</f>
        <v>445.15798044421575</v>
      </c>
      <c r="Q31" s="73">
        <f>P31</f>
        <v>445.15798044421575</v>
      </c>
      <c r="R31" s="73">
        <f t="shared" ref="R31:U31" si="6">Q31</f>
        <v>445.15798044421575</v>
      </c>
      <c r="S31" s="73">
        <f t="shared" si="6"/>
        <v>445.15798044421575</v>
      </c>
      <c r="T31" s="73">
        <f t="shared" si="6"/>
        <v>445.15798044421575</v>
      </c>
      <c r="U31" s="73">
        <f t="shared" si="6"/>
        <v>445.15798044421575</v>
      </c>
      <c r="V31" s="73">
        <f t="shared" ref="V31" si="7">U31</f>
        <v>445.15798044421575</v>
      </c>
    </row>
    <row r="32" spans="2:22" x14ac:dyDescent="0.3">
      <c r="B32" s="1" t="s">
        <v>313</v>
      </c>
      <c r="E32" s="71">
        <f>'detailed-financials'!E24/'detailed-financials'!E50*365*E20/12</f>
        <v>643.91509433962267</v>
      </c>
      <c r="F32" s="71">
        <f>'detailed-financials'!F24/'detailed-financials'!F50*365*F20/12</f>
        <v>588.97727272727263</v>
      </c>
      <c r="G32" s="71">
        <f>'detailed-financials'!G24/'detailed-financials'!G50*365*G20/12</f>
        <v>280</v>
      </c>
      <c r="H32" s="71">
        <f>'detailed-financials'!H24/'detailed-financials'!H50*365*H20/12</f>
        <v>252.59057971014488</v>
      </c>
      <c r="I32" s="71">
        <f>'detailed-financials'!I24/'detailed-financials'!I50*365*I20/12</f>
        <v>810.55172413793105</v>
      </c>
      <c r="J32" s="71">
        <f>'detailed-financials'!J24/'detailed-financials'!J50*365*J20/12</f>
        <v>406.75847457627123</v>
      </c>
      <c r="K32" s="71">
        <f>'detailed-financials'!K24/'detailed-financials'!K50*365*K20/12</f>
        <v>683.23843416370107</v>
      </c>
      <c r="L32" s="71">
        <f>'detailed-financials'!L24/'detailed-financials'!L50*365*L20/12</f>
        <v>405.68471337579626</v>
      </c>
      <c r="M32" s="71">
        <f>'detailed-financials'!M24/'detailed-financials'!M50*365*M20/12</f>
        <v>558.60869565217388</v>
      </c>
      <c r="N32" s="71">
        <f>'detailed-financials'!N24/'detailed-financials'!N50*365*N20/12</f>
        <v>1069.0237226277372</v>
      </c>
      <c r="O32" s="71">
        <f>'detailed-financials'!O24/'detailed-financials'!O50*365*O20/12</f>
        <v>438.66768292682923</v>
      </c>
      <c r="P32" s="73">
        <f>AVERAGE(E32:O32)</f>
        <v>558.00149038522545</v>
      </c>
      <c r="Q32" s="73">
        <f>P32</f>
        <v>558.00149038522545</v>
      </c>
      <c r="R32" s="73">
        <f t="shared" ref="R32:U33" si="8">Q32</f>
        <v>558.00149038522545</v>
      </c>
      <c r="S32" s="73">
        <f t="shared" si="8"/>
        <v>558.00149038522545</v>
      </c>
      <c r="T32" s="73">
        <f t="shared" si="8"/>
        <v>558.00149038522545</v>
      </c>
      <c r="U32" s="73">
        <f t="shared" si="8"/>
        <v>558.00149038522545</v>
      </c>
      <c r="V32" s="73">
        <f t="shared" ref="V32:V33" si="9">U32</f>
        <v>558.00149038522545</v>
      </c>
    </row>
    <row r="33" spans="2:22" x14ac:dyDescent="0.3">
      <c r="B33" s="1" t="s">
        <v>279</v>
      </c>
      <c r="E33" s="71">
        <f>('detailed-financials'!E28+'detailed-financials'!E26)</f>
        <v>1</v>
      </c>
      <c r="F33" s="71">
        <f>('detailed-financials'!F28+'detailed-financials'!F26)</f>
        <v>0.6</v>
      </c>
      <c r="G33" s="71">
        <f>('detailed-financials'!G28+'detailed-financials'!G26)</f>
        <v>7.8</v>
      </c>
      <c r="H33" s="71">
        <f>('detailed-financials'!H28+'detailed-financials'!H26)</f>
        <v>7.7</v>
      </c>
      <c r="I33" s="71">
        <f>('detailed-financials'!I28+'detailed-financials'!I26)</f>
        <v>0</v>
      </c>
      <c r="J33" s="71">
        <f>('detailed-financials'!J28+'detailed-financials'!J26)</f>
        <v>11.7</v>
      </c>
      <c r="K33" s="71">
        <f>('detailed-financials'!K28+'detailed-financials'!K26)</f>
        <v>6.9</v>
      </c>
      <c r="L33" s="71">
        <f>('detailed-financials'!L28+'detailed-financials'!L26)</f>
        <v>10.199999999999999</v>
      </c>
      <c r="M33" s="71">
        <f>('detailed-financials'!M28+'detailed-financials'!M26)</f>
        <v>6.6</v>
      </c>
      <c r="N33" s="71">
        <f>('detailed-financials'!N28+'detailed-financials'!N26)</f>
        <v>6.6</v>
      </c>
      <c r="O33" s="71">
        <f>('detailed-financials'!O28+'detailed-financials'!O26)</f>
        <v>6.1</v>
      </c>
      <c r="P33" s="71">
        <f>O33</f>
        <v>6.1</v>
      </c>
      <c r="Q33" s="71">
        <f t="shared" ref="Q33" si="10">P33</f>
        <v>6.1</v>
      </c>
      <c r="R33" s="71">
        <f t="shared" si="8"/>
        <v>6.1</v>
      </c>
      <c r="S33" s="71">
        <f t="shared" si="8"/>
        <v>6.1</v>
      </c>
      <c r="T33" s="71">
        <f t="shared" si="8"/>
        <v>6.1</v>
      </c>
      <c r="U33" s="71">
        <f t="shared" si="8"/>
        <v>6.1</v>
      </c>
      <c r="V33" s="71">
        <f t="shared" si="9"/>
        <v>6.1</v>
      </c>
    </row>
    <row r="34" spans="2:22" x14ac:dyDescent="0.3">
      <c r="B34" s="1" t="s">
        <v>280</v>
      </c>
      <c r="E34" s="71">
        <f>'detailed-financials'!E12</f>
        <v>14.5</v>
      </c>
      <c r="F34" s="71">
        <f>'detailed-financials'!F12</f>
        <v>12.7</v>
      </c>
      <c r="G34" s="71">
        <f>'detailed-financials'!G12</f>
        <v>13.2</v>
      </c>
      <c r="H34" s="71">
        <f>'detailed-financials'!H12</f>
        <v>32.1</v>
      </c>
      <c r="I34" s="71">
        <f>'detailed-financials'!I12</f>
        <v>22.7</v>
      </c>
      <c r="J34" s="71">
        <f>'detailed-financials'!J12</f>
        <v>37.200000000000003</v>
      </c>
      <c r="K34" s="71">
        <f>'detailed-financials'!K12</f>
        <v>26.8</v>
      </c>
      <c r="L34" s="71">
        <f>'detailed-financials'!L12</f>
        <v>43.3</v>
      </c>
      <c r="M34" s="71">
        <f>'detailed-financials'!M12</f>
        <v>37.9</v>
      </c>
      <c r="N34" s="71">
        <f>'detailed-financials'!N12</f>
        <v>51.6</v>
      </c>
      <c r="O34" s="71">
        <f>'detailed-financials'!O12</f>
        <v>29</v>
      </c>
      <c r="P34" s="72">
        <f>'detailed-financials'!H12</f>
        <v>32.1</v>
      </c>
      <c r="Q34" s="72">
        <f>'detailed-financials'!I12</f>
        <v>22.7</v>
      </c>
      <c r="R34" s="72">
        <f>'detailed-financials'!J12</f>
        <v>37.200000000000003</v>
      </c>
      <c r="S34" s="72">
        <f>'detailed-financials'!K12</f>
        <v>26.8</v>
      </c>
      <c r="T34" s="72">
        <f>'detailed-financials'!L12</f>
        <v>43.3</v>
      </c>
      <c r="U34" s="72">
        <f>'detailed-financials'!M12</f>
        <v>37.9</v>
      </c>
      <c r="V34" s="72">
        <f>'detailed-financials'!N12</f>
        <v>51.6</v>
      </c>
    </row>
    <row r="35" spans="2:22" x14ac:dyDescent="0.3">
      <c r="B35" s="1" t="s">
        <v>55</v>
      </c>
      <c r="E35" s="46">
        <f>-'detailed-financials'!E90/'detailed-financials'!E61</f>
        <v>0</v>
      </c>
      <c r="F35" s="46">
        <f>-'detailed-financials'!F90/'detailed-financials'!F61</f>
        <v>0</v>
      </c>
      <c r="G35" s="46">
        <f>-'detailed-financials'!G90/'detailed-financials'!G61</f>
        <v>1.3809523809523809</v>
      </c>
      <c r="H35" s="46">
        <f>-'detailed-financials'!H90/'detailed-financials'!H61</f>
        <v>0.12499999999999999</v>
      </c>
      <c r="I35" s="46">
        <f>-'detailed-financials'!I90/'detailed-financials'!I61</f>
        <v>6.0975609756097553E-2</v>
      </c>
      <c r="J35" s="46">
        <f>-'detailed-financials'!J90/'detailed-financials'!J61</f>
        <v>0.85185185185185175</v>
      </c>
      <c r="K35" s="46">
        <f>-'detailed-financials'!K90/'detailed-financials'!K61</f>
        <v>0.38983050847457629</v>
      </c>
      <c r="L35" s="46">
        <f>-'detailed-financials'!L90/'detailed-financials'!L61</f>
        <v>0.66666666666666663</v>
      </c>
      <c r="M35" s="46">
        <f>-'detailed-financials'!M90/'detailed-financials'!M61</f>
        <v>0.41891891891891891</v>
      </c>
      <c r="N35" s="46">
        <f>-'detailed-financials'!N90/'detailed-financials'!N61</f>
        <v>0.29411764705882354</v>
      </c>
      <c r="O35" s="46">
        <f>-'detailed-financials'!O90/'detailed-financials'!O61</f>
        <v>0.21428571428571427</v>
      </c>
      <c r="P35" s="61">
        <v>0.8</v>
      </c>
      <c r="Q35" s="61">
        <v>0.8</v>
      </c>
      <c r="R35" s="61">
        <v>0.8</v>
      </c>
      <c r="S35" s="61">
        <v>0.8</v>
      </c>
      <c r="T35" s="61">
        <v>0.8</v>
      </c>
      <c r="U35" s="61">
        <v>0.8</v>
      </c>
      <c r="V35" s="61">
        <v>0.8</v>
      </c>
    </row>
    <row r="36" spans="2:22" x14ac:dyDescent="0.3">
      <c r="B36" s="1" t="s">
        <v>56</v>
      </c>
      <c r="E36" s="71">
        <f>-SUM('detailed-financials'!E79)</f>
        <v>0.6</v>
      </c>
      <c r="F36" s="71">
        <f>-SUM('detailed-financials'!F79)</f>
        <v>1</v>
      </c>
      <c r="G36" s="71">
        <f>-SUM('detailed-financials'!G79)</f>
        <v>1.5</v>
      </c>
      <c r="H36" s="71">
        <f>-SUM('detailed-financials'!H79)</f>
        <v>0.5</v>
      </c>
      <c r="I36" s="71">
        <f>-SUM('detailed-financials'!I79)</f>
        <v>1.2</v>
      </c>
      <c r="J36" s="71">
        <f>-SUM('detailed-financials'!J79)</f>
        <v>3</v>
      </c>
      <c r="K36" s="71">
        <f>-SUM('detailed-financials'!K79)</f>
        <v>3.9</v>
      </c>
      <c r="L36" s="71">
        <f>-SUM('detailed-financials'!L79)</f>
        <v>0.9</v>
      </c>
      <c r="M36" s="71">
        <f>-SUM('detailed-financials'!M79)</f>
        <v>2.1</v>
      </c>
      <c r="N36" s="71">
        <f>-SUM('detailed-financials'!N79)</f>
        <v>0.9</v>
      </c>
      <c r="O36" s="71">
        <f>-SUM('detailed-financials'!O79)</f>
        <v>1.9</v>
      </c>
      <c r="P36" s="99">
        <f t="shared" ref="P36:V36" si="11">AVERAGE($E$36,$F$36,$G$36,$I$36,$K$36,$M$36,$O$36)/AVERAGE($E$41:$G$41,$I$41,$K$41,$M$41,$O$41)*P41</f>
        <v>3.9275378575434665</v>
      </c>
      <c r="Q36" s="99">
        <f t="shared" si="11"/>
        <v>4.1239147504206404</v>
      </c>
      <c r="R36" s="99">
        <f t="shared" si="11"/>
        <v>4.3301104879416723</v>
      </c>
      <c r="S36" s="99">
        <f t="shared" si="11"/>
        <v>4.546616012338756</v>
      </c>
      <c r="T36" s="99">
        <f t="shared" si="11"/>
        <v>4.7739468129556943</v>
      </c>
      <c r="U36" s="99">
        <f t="shared" si="11"/>
        <v>5.0126441536034791</v>
      </c>
      <c r="V36" s="99">
        <f t="shared" si="11"/>
        <v>5.2632763612836539</v>
      </c>
    </row>
    <row r="37" spans="2:22" x14ac:dyDescent="0.3">
      <c r="B37" s="1" t="s">
        <v>295</v>
      </c>
      <c r="E37" s="71">
        <f>-'detailed-financials'!E81</f>
        <v>0</v>
      </c>
      <c r="F37" s="71">
        <f>-'detailed-financials'!F81</f>
        <v>0</v>
      </c>
      <c r="G37" s="71">
        <f>-'detailed-financials'!G81</f>
        <v>0</v>
      </c>
      <c r="H37" s="71">
        <f>-'detailed-financials'!H81</f>
        <v>0.1</v>
      </c>
      <c r="I37" s="71">
        <f>-'detailed-financials'!I81</f>
        <v>0.1</v>
      </c>
      <c r="J37" s="71">
        <f>-'detailed-financials'!J81</f>
        <v>0</v>
      </c>
      <c r="K37" s="71">
        <f>-'detailed-financials'!K81</f>
        <v>0</v>
      </c>
      <c r="L37" s="71">
        <f>-'detailed-financials'!L81</f>
        <v>0</v>
      </c>
      <c r="M37" s="71">
        <f>-'detailed-financials'!M81</f>
        <v>0</v>
      </c>
      <c r="N37" s="71">
        <f>-'detailed-financials'!N81</f>
        <v>0</v>
      </c>
      <c r="O37" s="71">
        <f>-'detailed-financials'!O81</f>
        <v>0</v>
      </c>
      <c r="P37" s="72"/>
      <c r="Q37" s="72"/>
      <c r="R37" s="72"/>
      <c r="S37" s="72"/>
      <c r="T37" s="72"/>
      <c r="U37" s="72"/>
      <c r="V37" s="72"/>
    </row>
    <row r="38" spans="2:22" x14ac:dyDescent="0.3">
      <c r="B38" s="3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22" x14ac:dyDescent="0.3">
      <c r="B39" s="2" t="s">
        <v>132</v>
      </c>
      <c r="C39" s="3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5"/>
      <c r="R39" s="5"/>
      <c r="S39" s="5"/>
      <c r="T39" s="5"/>
      <c r="U39" s="5"/>
      <c r="V39" s="5"/>
    </row>
    <row r="40" spans="2:22" x14ac:dyDescent="0.3">
      <c r="B40" s="3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22" x14ac:dyDescent="0.3">
      <c r="B41" s="38" t="s">
        <v>32</v>
      </c>
      <c r="C41" s="38"/>
      <c r="D41" s="38"/>
      <c r="E41" s="86">
        <f>'detailed-financials'!E50</f>
        <v>10.6</v>
      </c>
      <c r="F41" s="86">
        <f>'detailed-financials'!F50</f>
        <v>13.2</v>
      </c>
      <c r="G41" s="86">
        <f>'detailed-financials'!G50</f>
        <v>21.9</v>
      </c>
      <c r="H41" s="86">
        <f>'detailed-financials'!H50</f>
        <v>13.8</v>
      </c>
      <c r="I41" s="86">
        <f>'detailed-financials'!I50</f>
        <v>29</v>
      </c>
      <c r="J41" s="86">
        <f>'detailed-financials'!J50</f>
        <v>11.8</v>
      </c>
      <c r="K41" s="86">
        <f>'detailed-financials'!K50</f>
        <v>28.1</v>
      </c>
      <c r="L41" s="86">
        <f>'detailed-financials'!L50</f>
        <v>15.7</v>
      </c>
      <c r="M41" s="86">
        <f>'detailed-financials'!M50</f>
        <v>34.5</v>
      </c>
      <c r="N41" s="86">
        <f>'detailed-financials'!N50</f>
        <v>27.4</v>
      </c>
      <c r="O41" s="86">
        <f>'detailed-financials'!O50</f>
        <v>41</v>
      </c>
      <c r="P41" s="87">
        <f>'detailed-financials'!P50</f>
        <v>57.400000000000006</v>
      </c>
      <c r="Q41" s="87">
        <f>'detailed-financials'!Q50</f>
        <v>60.27000000000001</v>
      </c>
      <c r="R41" s="87">
        <f>'detailed-financials'!R50</f>
        <v>63.283500000000011</v>
      </c>
      <c r="S41" s="87">
        <f>'detailed-financials'!S50</f>
        <v>66.447675000000018</v>
      </c>
      <c r="T41" s="87">
        <f>'detailed-financials'!T50</f>
        <v>69.770058750000018</v>
      </c>
      <c r="U41" s="87">
        <f>'detailed-financials'!U50</f>
        <v>73.25856168750002</v>
      </c>
      <c r="V41" s="87">
        <f>'detailed-financials'!V50</f>
        <v>76.921489771875031</v>
      </c>
    </row>
    <row r="42" spans="2:22" x14ac:dyDescent="0.3">
      <c r="B42" s="44" t="s">
        <v>315</v>
      </c>
      <c r="C42" s="44"/>
      <c r="D42" s="44"/>
      <c r="E42" s="75"/>
      <c r="F42" s="75">
        <f t="shared" ref="F42:O42" si="12">(F41/E41)/(F20/E20)-1</f>
        <v>0.24528301886792447</v>
      </c>
      <c r="G42" s="75">
        <f t="shared" si="12"/>
        <v>0.65909090909090917</v>
      </c>
      <c r="H42" s="75">
        <f t="shared" si="12"/>
        <v>0.26027397260273988</v>
      </c>
      <c r="I42" s="75">
        <f t="shared" si="12"/>
        <v>5.0724637681159424E-2</v>
      </c>
      <c r="J42" s="75">
        <f t="shared" si="12"/>
        <v>-0.18620689655172407</v>
      </c>
      <c r="K42" s="75">
        <f t="shared" si="12"/>
        <v>0.19067796610169485</v>
      </c>
      <c r="L42" s="75">
        <f t="shared" si="12"/>
        <v>0.11743772241992878</v>
      </c>
      <c r="M42" s="75">
        <f t="shared" si="12"/>
        <v>9.8726114649681618E-2</v>
      </c>
      <c r="N42" s="75">
        <f t="shared" si="12"/>
        <v>0.58840579710144914</v>
      </c>
      <c r="O42" s="75">
        <f t="shared" si="12"/>
        <v>-2.4330900243308973E-3</v>
      </c>
      <c r="P42" s="76">
        <f>P41/(O41/0.75)-1</f>
        <v>5.0000000000000044E-2</v>
      </c>
      <c r="Q42" s="76">
        <f t="shared" ref="Q42:V42" si="13">Q41/P41-1</f>
        <v>5.0000000000000044E-2</v>
      </c>
      <c r="R42" s="76">
        <f t="shared" si="13"/>
        <v>5.0000000000000044E-2</v>
      </c>
      <c r="S42" s="76">
        <f t="shared" si="13"/>
        <v>5.0000000000000044E-2</v>
      </c>
      <c r="T42" s="76">
        <f t="shared" si="13"/>
        <v>5.0000000000000044E-2</v>
      </c>
      <c r="U42" s="76">
        <f t="shared" si="13"/>
        <v>5.0000000000000044E-2</v>
      </c>
      <c r="V42" s="76">
        <f t="shared" si="13"/>
        <v>5.0000000000000044E-2</v>
      </c>
    </row>
    <row r="43" spans="2:22" x14ac:dyDescent="0.3">
      <c r="B43" s="77" t="s">
        <v>34</v>
      </c>
      <c r="C43" s="77"/>
      <c r="D43" s="77"/>
      <c r="E43" s="88">
        <f>'detailed-financials'!E52</f>
        <v>10.299999999999999</v>
      </c>
      <c r="F43" s="88">
        <f>'detailed-financials'!F52</f>
        <v>12.899999999999999</v>
      </c>
      <c r="G43" s="88">
        <f>'detailed-financials'!G52</f>
        <v>21.5</v>
      </c>
      <c r="H43" s="88">
        <f>'detailed-financials'!H52</f>
        <v>13.600000000000001</v>
      </c>
      <c r="I43" s="88">
        <f>'detailed-financials'!I52</f>
        <v>28.6</v>
      </c>
      <c r="J43" s="88">
        <f>'detailed-financials'!J52</f>
        <v>11.600000000000001</v>
      </c>
      <c r="K43" s="88">
        <f>'detailed-financials'!K52</f>
        <v>27.6</v>
      </c>
      <c r="L43" s="88">
        <f>'detailed-financials'!L52</f>
        <v>15.5</v>
      </c>
      <c r="M43" s="88">
        <f>'detailed-financials'!M52</f>
        <v>33.9</v>
      </c>
      <c r="N43" s="88">
        <f>'detailed-financials'!N52</f>
        <v>26.5</v>
      </c>
      <c r="O43" s="88">
        <f>'detailed-financials'!O52</f>
        <v>39.200000000000003</v>
      </c>
      <c r="P43" s="89">
        <f>'detailed-financials'!P52</f>
        <v>54.88000000000001</v>
      </c>
      <c r="Q43" s="89">
        <f>'detailed-financials'!Q52</f>
        <v>57.624000000000017</v>
      </c>
      <c r="R43" s="89">
        <f>'detailed-financials'!R52</f>
        <v>60.505200000000016</v>
      </c>
      <c r="S43" s="89">
        <f>'detailed-financials'!S52</f>
        <v>63.530460000000019</v>
      </c>
      <c r="T43" s="89">
        <f>'detailed-financials'!T52</f>
        <v>66.706983000000022</v>
      </c>
      <c r="U43" s="89">
        <f>'detailed-financials'!U52</f>
        <v>70.042332150000021</v>
      </c>
      <c r="V43" s="89">
        <f>'detailed-financials'!V52</f>
        <v>73.544448757500035</v>
      </c>
    </row>
    <row r="44" spans="2:22" x14ac:dyDescent="0.3">
      <c r="B44" s="45" t="s">
        <v>301</v>
      </c>
      <c r="C44" s="45"/>
      <c r="D44" s="45"/>
      <c r="E44" s="75">
        <f t="shared" ref="E44" si="14">E43/E$41</f>
        <v>0.97169811320754707</v>
      </c>
      <c r="F44" s="75">
        <f t="shared" ref="F44:O44" si="15">F43/F$41</f>
        <v>0.97727272727272718</v>
      </c>
      <c r="G44" s="75">
        <f t="shared" si="15"/>
        <v>0.98173515981735171</v>
      </c>
      <c r="H44" s="75">
        <f t="shared" si="15"/>
        <v>0.98550724637681164</v>
      </c>
      <c r="I44" s="75">
        <f t="shared" si="15"/>
        <v>0.98620689655172422</v>
      </c>
      <c r="J44" s="75">
        <f t="shared" si="15"/>
        <v>0.98305084745762716</v>
      </c>
      <c r="K44" s="75">
        <f t="shared" si="15"/>
        <v>0.98220640569395012</v>
      </c>
      <c r="L44" s="75">
        <f t="shared" si="15"/>
        <v>0.98726114649681529</v>
      </c>
      <c r="M44" s="75">
        <f t="shared" si="15"/>
        <v>0.9826086956521739</v>
      </c>
      <c r="N44" s="75">
        <f t="shared" si="15"/>
        <v>0.96715328467153294</v>
      </c>
      <c r="O44" s="75">
        <f t="shared" si="15"/>
        <v>0.95609756097560983</v>
      </c>
      <c r="P44" s="76">
        <f t="shared" ref="P44:P46" si="16">P43/P$41</f>
        <v>0.95609756097560983</v>
      </c>
      <c r="Q44" s="76">
        <f t="shared" ref="Q44:V44" si="17">Q43/Q$41</f>
        <v>0.95609756097560983</v>
      </c>
      <c r="R44" s="76">
        <f t="shared" si="17"/>
        <v>0.95609756097560983</v>
      </c>
      <c r="S44" s="76">
        <f t="shared" si="17"/>
        <v>0.95609756097560983</v>
      </c>
      <c r="T44" s="76">
        <f t="shared" si="17"/>
        <v>0.95609756097560983</v>
      </c>
      <c r="U44" s="76">
        <f t="shared" si="17"/>
        <v>0.95609756097560983</v>
      </c>
      <c r="V44" s="76">
        <f t="shared" si="17"/>
        <v>0.95609756097560983</v>
      </c>
    </row>
    <row r="45" spans="2:22" x14ac:dyDescent="0.3">
      <c r="B45" s="77" t="s">
        <v>36</v>
      </c>
      <c r="C45" s="77"/>
      <c r="D45" s="77"/>
      <c r="E45" s="88">
        <f>'detailed-financials'!E55</f>
        <v>6.2</v>
      </c>
      <c r="F45" s="88">
        <f>'detailed-financials'!F55</f>
        <v>7.1</v>
      </c>
      <c r="G45" s="88">
        <f>'detailed-financials'!G55</f>
        <v>3.4</v>
      </c>
      <c r="H45" s="88">
        <f>'detailed-financials'!H55</f>
        <v>4.9000000000000004</v>
      </c>
      <c r="I45" s="88">
        <f>'detailed-financials'!I55</f>
        <v>11.7</v>
      </c>
      <c r="J45" s="88">
        <f>'detailed-financials'!J55</f>
        <v>4.7</v>
      </c>
      <c r="K45" s="88">
        <f>'detailed-financials'!K55</f>
        <v>10.1</v>
      </c>
      <c r="L45" s="88">
        <f>'detailed-financials'!L55</f>
        <v>5.6</v>
      </c>
      <c r="M45" s="88">
        <f>'detailed-financials'!M55</f>
        <v>12.9</v>
      </c>
      <c r="N45" s="88">
        <f>'detailed-financials'!N55</f>
        <v>7.7</v>
      </c>
      <c r="O45" s="88">
        <f>'detailed-financials'!O55</f>
        <v>10.1</v>
      </c>
      <c r="P45" s="89">
        <f>'detailed-financials'!P55</f>
        <v>14.14</v>
      </c>
      <c r="Q45" s="89">
        <f>'detailed-financials'!Q55</f>
        <v>14.847000000000001</v>
      </c>
      <c r="R45" s="89">
        <f>'detailed-financials'!R55</f>
        <v>15.589349999999996</v>
      </c>
      <c r="S45" s="89">
        <f>'detailed-financials'!S55</f>
        <v>16.368817499999992</v>
      </c>
      <c r="T45" s="89">
        <f>'detailed-financials'!T55</f>
        <v>17.187258374999999</v>
      </c>
      <c r="U45" s="89">
        <f>'detailed-financials'!U55</f>
        <v>18.046621293749993</v>
      </c>
      <c r="V45" s="89">
        <f>'detailed-financials'!V55</f>
        <v>18.948952358437502</v>
      </c>
    </row>
    <row r="46" spans="2:22" x14ac:dyDescent="0.3">
      <c r="B46" s="45" t="s">
        <v>111</v>
      </c>
      <c r="C46" s="45"/>
      <c r="D46" s="45"/>
      <c r="E46" s="75">
        <f t="shared" ref="E46" si="18">E45/E$41</f>
        <v>0.58490566037735847</v>
      </c>
      <c r="F46" s="75">
        <f t="shared" ref="F46:O46" si="19">F45/F$41</f>
        <v>0.53787878787878785</v>
      </c>
      <c r="G46" s="75">
        <f t="shared" si="19"/>
        <v>0.15525114155251143</v>
      </c>
      <c r="H46" s="75">
        <f t="shared" si="19"/>
        <v>0.35507246376811596</v>
      </c>
      <c r="I46" s="75">
        <f t="shared" si="19"/>
        <v>0.40344827586206894</v>
      </c>
      <c r="J46" s="75">
        <f t="shared" si="19"/>
        <v>0.39830508474576271</v>
      </c>
      <c r="K46" s="75">
        <f t="shared" si="19"/>
        <v>0.35943060498220636</v>
      </c>
      <c r="L46" s="75">
        <f t="shared" si="19"/>
        <v>0.35668789808917195</v>
      </c>
      <c r="M46" s="75">
        <f t="shared" si="19"/>
        <v>0.37391304347826088</v>
      </c>
      <c r="N46" s="75">
        <f t="shared" si="19"/>
        <v>0.28102189781021902</v>
      </c>
      <c r="O46" s="75">
        <f t="shared" si="19"/>
        <v>0.24634146341463414</v>
      </c>
      <c r="P46" s="76">
        <f t="shared" si="16"/>
        <v>0.24634146341463414</v>
      </c>
      <c r="Q46" s="76">
        <f t="shared" ref="Q46:V46" si="20">Q45/Q$41</f>
        <v>0.24634146341463412</v>
      </c>
      <c r="R46" s="76">
        <f t="shared" si="20"/>
        <v>0.24634146341463403</v>
      </c>
      <c r="S46" s="76">
        <f t="shared" si="20"/>
        <v>0.24634146341463395</v>
      </c>
      <c r="T46" s="76">
        <f t="shared" si="20"/>
        <v>0.24634146341463406</v>
      </c>
      <c r="U46" s="76">
        <f t="shared" si="20"/>
        <v>0.24634146341463398</v>
      </c>
      <c r="V46" s="76">
        <f t="shared" si="20"/>
        <v>0.24634146341463409</v>
      </c>
    </row>
    <row r="47" spans="2:22" x14ac:dyDescent="0.3">
      <c r="B47" s="38" t="s">
        <v>38</v>
      </c>
      <c r="C47" s="38"/>
      <c r="D47" s="38"/>
      <c r="E47" s="90">
        <f>'detailed-financials'!E57</f>
        <v>5.5</v>
      </c>
      <c r="F47" s="90">
        <f>'detailed-financials'!F57</f>
        <v>6.2</v>
      </c>
      <c r="G47" s="90">
        <f>'detailed-financials'!G57</f>
        <v>2.2000000000000002</v>
      </c>
      <c r="H47" s="90">
        <f>'detailed-financials'!H57</f>
        <v>4.2</v>
      </c>
      <c r="I47" s="90">
        <f>'detailed-financials'!I57</f>
        <v>10.4</v>
      </c>
      <c r="J47" s="90">
        <f>'detailed-financials'!J57</f>
        <v>3.6</v>
      </c>
      <c r="K47" s="90">
        <f>'detailed-financials'!K57</f>
        <v>7.8</v>
      </c>
      <c r="L47" s="90">
        <f>'detailed-financials'!L57</f>
        <v>4.4000000000000004</v>
      </c>
      <c r="M47" s="90">
        <f>'detailed-financials'!M57</f>
        <v>10.4</v>
      </c>
      <c r="N47" s="90">
        <f>'detailed-financials'!N57</f>
        <v>6.4</v>
      </c>
      <c r="O47" s="90">
        <f>'detailed-financials'!O57</f>
        <v>8.1</v>
      </c>
      <c r="P47" s="91">
        <f>'detailed-financials'!P57</f>
        <v>11.540000000000001</v>
      </c>
      <c r="Q47" s="91">
        <f>'detailed-financials'!Q57</f>
        <v>11.915115535614135</v>
      </c>
      <c r="R47" s="91">
        <f>'detailed-financials'!R57</f>
        <v>12.359457964105436</v>
      </c>
      <c r="S47" s="91">
        <f>'detailed-financials'!S57</f>
        <v>12.863870851093653</v>
      </c>
      <c r="T47" s="91">
        <f>'detailed-financials'!T57</f>
        <v>13.421894385235557</v>
      </c>
      <c r="U47" s="91">
        <f>'detailed-financials'!U57</f>
        <v>14.029111598187738</v>
      </c>
      <c r="V47" s="91">
        <f>'detailed-financials'!V57</f>
        <v>14.68265904836494</v>
      </c>
    </row>
    <row r="48" spans="2:22" x14ac:dyDescent="0.3">
      <c r="B48" s="45" t="s">
        <v>113</v>
      </c>
      <c r="C48" s="45"/>
      <c r="D48" s="45"/>
      <c r="E48" s="75">
        <f t="shared" ref="E48" si="21">E47/E$41</f>
        <v>0.51886792452830188</v>
      </c>
      <c r="F48" s="75">
        <f t="shared" ref="F48:O48" si="22">F47/F$41</f>
        <v>0.46969696969696972</v>
      </c>
      <c r="G48" s="75">
        <f t="shared" si="22"/>
        <v>0.10045662100456622</v>
      </c>
      <c r="H48" s="75">
        <f t="shared" si="22"/>
        <v>0.30434782608695654</v>
      </c>
      <c r="I48" s="75">
        <f t="shared" si="22"/>
        <v>0.35862068965517241</v>
      </c>
      <c r="J48" s="75">
        <f t="shared" si="22"/>
        <v>0.30508474576271183</v>
      </c>
      <c r="K48" s="75">
        <f t="shared" si="22"/>
        <v>0.27758007117437722</v>
      </c>
      <c r="L48" s="75">
        <f t="shared" si="22"/>
        <v>0.28025477707006374</v>
      </c>
      <c r="M48" s="75">
        <f t="shared" si="22"/>
        <v>0.30144927536231886</v>
      </c>
      <c r="N48" s="75">
        <f t="shared" si="22"/>
        <v>0.23357664233576644</v>
      </c>
      <c r="O48" s="75">
        <f t="shared" si="22"/>
        <v>0.19756097560975608</v>
      </c>
      <c r="P48" s="76">
        <f t="shared" ref="P48" si="23">P47/P$41</f>
        <v>0.20104529616724739</v>
      </c>
      <c r="Q48" s="76">
        <f t="shared" ref="Q48:V48" si="24">Q47/Q$41</f>
        <v>0.19769562859821027</v>
      </c>
      <c r="R48" s="76">
        <f t="shared" si="24"/>
        <v>0.19530300890604083</v>
      </c>
      <c r="S48" s="76">
        <f t="shared" si="24"/>
        <v>0.19359399484020545</v>
      </c>
      <c r="T48" s="76">
        <f t="shared" si="24"/>
        <v>0.19237327050746611</v>
      </c>
      <c r="U48" s="76">
        <f t="shared" si="24"/>
        <v>0.19150132455550928</v>
      </c>
      <c r="V48" s="76">
        <f t="shared" si="24"/>
        <v>0.19087850601839737</v>
      </c>
    </row>
    <row r="49" spans="2:22" x14ac:dyDescent="0.3">
      <c r="B49" s="38" t="s">
        <v>41</v>
      </c>
      <c r="C49" s="38"/>
      <c r="D49" s="38"/>
      <c r="E49" s="90">
        <f>'detailed-financials'!E61</f>
        <v>5.4</v>
      </c>
      <c r="F49" s="90">
        <f>'detailed-financials'!F61</f>
        <v>6.2</v>
      </c>
      <c r="G49" s="90">
        <f>'detailed-financials'!G61</f>
        <v>2.1</v>
      </c>
      <c r="H49" s="90">
        <f>'detailed-financials'!H61</f>
        <v>3.2000000000000006</v>
      </c>
      <c r="I49" s="90">
        <f>'detailed-financials'!I61</f>
        <v>8.2000000000000011</v>
      </c>
      <c r="J49" s="90">
        <f>'detailed-financials'!J61</f>
        <v>2.7</v>
      </c>
      <c r="K49" s="90">
        <f>'detailed-financials'!K61</f>
        <v>5.8999999999999995</v>
      </c>
      <c r="L49" s="90">
        <f>'detailed-financials'!L61</f>
        <v>3.3000000000000003</v>
      </c>
      <c r="M49" s="90">
        <f>'detailed-financials'!M61</f>
        <v>7.4</v>
      </c>
      <c r="N49" s="90">
        <f>'detailed-financials'!N61</f>
        <v>5.0999999999999996</v>
      </c>
      <c r="O49" s="90">
        <f>'detailed-financials'!O61</f>
        <v>7</v>
      </c>
      <c r="P49" s="91">
        <f>'detailed-financials'!P61</f>
        <v>8.6550000000000011</v>
      </c>
      <c r="Q49" s="91">
        <f>'detailed-financials'!Q61</f>
        <v>8.9363366517106009</v>
      </c>
      <c r="R49" s="91">
        <f>'detailed-financials'!R61</f>
        <v>9.2695934730790768</v>
      </c>
      <c r="S49" s="91">
        <f>'detailed-financials'!S61</f>
        <v>9.64790313832024</v>
      </c>
      <c r="T49" s="91">
        <f>'detailed-financials'!T61</f>
        <v>10.066420788926667</v>
      </c>
      <c r="U49" s="91">
        <f>'detailed-financials'!U61</f>
        <v>10.521833698640803</v>
      </c>
      <c r="V49" s="91">
        <f>'detailed-financials'!V61</f>
        <v>11.011994286273705</v>
      </c>
    </row>
    <row r="50" spans="2:22" x14ac:dyDescent="0.3">
      <c r="B50" s="21" t="s">
        <v>110</v>
      </c>
      <c r="C50" s="21"/>
      <c r="D50" s="21"/>
      <c r="E50" s="97">
        <f t="shared" ref="E50" si="25">E49/E$41</f>
        <v>0.50943396226415094</v>
      </c>
      <c r="F50" s="97">
        <f t="shared" ref="F50:O50" si="26">F49/F$41</f>
        <v>0.46969696969696972</v>
      </c>
      <c r="G50" s="97">
        <f t="shared" si="26"/>
        <v>9.5890410958904118E-2</v>
      </c>
      <c r="H50" s="97">
        <f t="shared" si="26"/>
        <v>0.23188405797101452</v>
      </c>
      <c r="I50" s="97">
        <f t="shared" si="26"/>
        <v>0.28275862068965518</v>
      </c>
      <c r="J50" s="97">
        <f t="shared" si="26"/>
        <v>0.2288135593220339</v>
      </c>
      <c r="K50" s="97">
        <f t="shared" si="26"/>
        <v>0.20996441281138786</v>
      </c>
      <c r="L50" s="97">
        <f t="shared" si="26"/>
        <v>0.21019108280254781</v>
      </c>
      <c r="M50" s="97">
        <f t="shared" si="26"/>
        <v>0.21449275362318843</v>
      </c>
      <c r="N50" s="97">
        <f t="shared" si="26"/>
        <v>0.18613138686131386</v>
      </c>
      <c r="O50" s="97">
        <f t="shared" si="26"/>
        <v>0.17073170731707318</v>
      </c>
      <c r="P50" s="98">
        <f t="shared" ref="P50" si="27">P49/P$41</f>
        <v>0.15078397212543554</v>
      </c>
      <c r="Q50" s="98">
        <f t="shared" ref="Q50:V50" si="28">Q49/Q$41</f>
        <v>0.14827172144865769</v>
      </c>
      <c r="R50" s="98">
        <f t="shared" si="28"/>
        <v>0.1464772566795306</v>
      </c>
      <c r="S50" s="98">
        <f t="shared" si="28"/>
        <v>0.14519549613015409</v>
      </c>
      <c r="T50" s="98">
        <f t="shared" si="28"/>
        <v>0.14427995288059958</v>
      </c>
      <c r="U50" s="98">
        <f t="shared" si="28"/>
        <v>0.14362599341663193</v>
      </c>
      <c r="V50" s="98">
        <f t="shared" si="28"/>
        <v>0.14315887951379802</v>
      </c>
    </row>
    <row r="51" spans="2:22" x14ac:dyDescent="0.3">
      <c r="B51" s="1" t="s">
        <v>314</v>
      </c>
      <c r="E51" s="97">
        <f>E47*(1-WACC!$E$15)/('detailed-financials'!E22-'detailed-financials'!E24-'detailed-financials'!E25)*(12/E20)</f>
        <v>0.50304878048780477</v>
      </c>
      <c r="F51" s="97">
        <f>F47*(1-WACC!$E$15)/('detailed-financials'!F22-'detailed-financials'!F24-'detailed-financials'!F25)*(12/F20)</f>
        <v>0.54069767441860428</v>
      </c>
      <c r="G51" s="97">
        <f>G47*(1-WACC!$E$15)/('detailed-financials'!G22-'detailed-financials'!G24-'detailed-financials'!G25)*(12/G20)</f>
        <v>0.14601769911504425</v>
      </c>
      <c r="H51" s="97">
        <f>H47*(1-WACC!$E$15)/('detailed-financials'!H22-'detailed-financials'!H24-'detailed-financials'!H25)*(12/H20)</f>
        <v>0.19936708860759494</v>
      </c>
      <c r="I51" s="97">
        <f>I47*(1-WACC!$E$15)/('detailed-financials'!I22-'detailed-financials'!I24-'detailed-financials'!I25)*(12/I20)</f>
        <v>0.26174496644295309</v>
      </c>
      <c r="J51" s="97">
        <f>J47*(1-WACC!$E$15)/('detailed-financials'!J22-'detailed-financials'!J24-'detailed-financials'!J25)*(12/J20)</f>
        <v>0.1432360742705571</v>
      </c>
      <c r="K51" s="97">
        <f>K47*(1-WACC!$E$15)/('detailed-financials'!K22-'detailed-financials'!K24-'detailed-financials'!K25)*(12/K20)</f>
        <v>0.15435356200527703</v>
      </c>
      <c r="L51" s="97">
        <f>L47*(1-WACC!$E$15)/('detailed-financials'!L22-'detailed-financials'!L24-'detailed-financials'!L25)*(12/L20)</f>
        <v>0.16058394160583941</v>
      </c>
      <c r="M51" s="97">
        <f>M47*(1-WACC!$E$15)/('detailed-financials'!M22-'detailed-financials'!M24-'detailed-financials'!M25)*(12/M20)</f>
        <v>0.18439716312056739</v>
      </c>
      <c r="N51" s="97">
        <f>N47*(1-WACC!$E$15)/('detailed-financials'!N22-'detailed-financials'!N24-'detailed-financials'!N25)*(12/N20)</f>
        <v>0.17777777777777784</v>
      </c>
      <c r="O51" s="97">
        <f>O47*(1-WACC!$E$15)/('detailed-financials'!O22-'detailed-financials'!O24-'detailed-financials'!O25)*(12/O20)</f>
        <v>0.16103379721669975</v>
      </c>
      <c r="P51" s="98">
        <f>P47*(1-WACC!$E$15)/('detailed-financials'!P22-'detailed-financials'!P24-'detailed-financials'!P25)*(12/P20)</f>
        <v>0.16634314158866823</v>
      </c>
      <c r="Q51" s="98">
        <f>Q47*(1-WACC!$E$15)/('detailed-financials'!Q22-'detailed-financials'!Q24-'detailed-financials'!Q25)*(12/Q20)</f>
        <v>0.16604653206054434</v>
      </c>
      <c r="R51" s="98">
        <f>R47*(1-WACC!$E$15)/('detailed-financials'!R22-'detailed-financials'!R24-'detailed-financials'!R25)*(12/R20)</f>
        <v>0.16650313441838804</v>
      </c>
      <c r="S51" s="98">
        <f>S47*(1-WACC!$E$15)/('detailed-financials'!S22-'detailed-financials'!S24-'detailed-financials'!S25)*(12/S20)</f>
        <v>0.16749318118146761</v>
      </c>
      <c r="T51" s="98">
        <f>T47*(1-WACC!$E$15)/('detailed-financials'!T22-'detailed-financials'!T24-'detailed-financials'!T25)*(12/T20)</f>
        <v>0.16885703613573563</v>
      </c>
      <c r="U51" s="98">
        <f>U47*(1-WACC!$E$15)/('detailed-financials'!U22-'detailed-financials'!U24-'detailed-financials'!U25)*(12/U20)</f>
        <v>0.17047849957582278</v>
      </c>
      <c r="V51" s="98">
        <f>V47*(1-WACC!$E$15)/('detailed-financials'!V22-'detailed-financials'!V24-'detailed-financials'!V25)*(12/V20)</f>
        <v>0.17227286246203366</v>
      </c>
    </row>
    <row r="52" spans="2:22" x14ac:dyDescent="0.3">
      <c r="B52" s="3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22" x14ac:dyDescent="0.3">
      <c r="B53" s="47" t="s">
        <v>281</v>
      </c>
      <c r="C53" s="47"/>
      <c r="D53" s="47"/>
      <c r="E53" s="50">
        <f>'detailed-financials'!E66</f>
        <v>4.7703180212014136</v>
      </c>
      <c r="F53" s="50">
        <f>'detailed-financials'!F66</f>
        <v>5.4770318021201412</v>
      </c>
      <c r="G53" s="50">
        <f>'detailed-financials'!G66</f>
        <v>1.8551236749116609</v>
      </c>
      <c r="H53" s="50">
        <f>'detailed-financials'!H66</f>
        <v>2.8193832599118949</v>
      </c>
      <c r="I53" s="50">
        <f>'detailed-financials'!I66</f>
        <v>7.2310405643738989</v>
      </c>
      <c r="J53" s="50">
        <f>'detailed-financials'!J66</f>
        <v>2.3830538393645191</v>
      </c>
      <c r="K53" s="50">
        <f>'detailed-financials'!K66</f>
        <v>5.2074139452780228</v>
      </c>
      <c r="L53" s="50">
        <f>'detailed-financials'!L66</f>
        <v>2.9126213592233015</v>
      </c>
      <c r="M53" s="50">
        <f>'detailed-financials'!M66</f>
        <v>6.5255731922398583</v>
      </c>
      <c r="N53" s="50">
        <f>'detailed-financials'!N66</f>
        <v>4.5013239187996472</v>
      </c>
      <c r="O53" s="50">
        <f>'detailed-financials'!O66</f>
        <v>6.1782877316857903</v>
      </c>
      <c r="P53" s="51">
        <f>'detailed-financials'!P66</f>
        <v>7.639011473962932</v>
      </c>
      <c r="Q53" s="51">
        <f>'detailed-financials'!Q66</f>
        <v>7.8873227287825252</v>
      </c>
      <c r="R53" s="51">
        <f>'detailed-financials'!R66</f>
        <v>8.1814593760627332</v>
      </c>
      <c r="S53" s="51">
        <f>'detailed-financials'!S66</f>
        <v>8.5153602279966805</v>
      </c>
      <c r="T53" s="51">
        <f>'detailed-financials'!T66</f>
        <v>8.8847491517446304</v>
      </c>
      <c r="U53" s="51">
        <f>'detailed-financials'!U66</f>
        <v>9.286702293592942</v>
      </c>
      <c r="V53" s="51">
        <f>'detailed-financials'!V66</f>
        <v>9.7193241714684078</v>
      </c>
    </row>
    <row r="54" spans="2:22" x14ac:dyDescent="0.3">
      <c r="B54" s="47" t="s">
        <v>112</v>
      </c>
      <c r="C54" s="47"/>
      <c r="D54" s="47"/>
      <c r="E54" s="48">
        <f>$D$12/E53</f>
        <v>24.841111111111111</v>
      </c>
      <c r="F54" s="48">
        <f t="shared" ref="F54:O54" si="29">$D$12/F53</f>
        <v>21.635806451612904</v>
      </c>
      <c r="G54" s="48">
        <f t="shared" si="29"/>
        <v>63.877142857142857</v>
      </c>
      <c r="H54" s="48">
        <f t="shared" si="29"/>
        <v>42.03046874999999</v>
      </c>
      <c r="I54" s="48">
        <f t="shared" si="29"/>
        <v>16.387682926829267</v>
      </c>
      <c r="J54" s="48">
        <f t="shared" si="29"/>
        <v>49.726111111111109</v>
      </c>
      <c r="K54" s="48">
        <f t="shared" si="29"/>
        <v>22.756016949152542</v>
      </c>
      <c r="L54" s="48">
        <f t="shared" si="29"/>
        <v>40.684999999999995</v>
      </c>
      <c r="M54" s="48">
        <f t="shared" si="29"/>
        <v>18.159324324324327</v>
      </c>
      <c r="N54" s="48">
        <f t="shared" si="29"/>
        <v>26.325588235294116</v>
      </c>
      <c r="O54" s="48">
        <f t="shared" si="29"/>
        <v>19.180071428571427</v>
      </c>
      <c r="P54" s="49">
        <f t="shared" ref="P54:V54" si="30">$D$12/P53</f>
        <v>15.512478336221834</v>
      </c>
      <c r="Q54" s="49">
        <f t="shared" si="30"/>
        <v>15.024109457011082</v>
      </c>
      <c r="R54" s="49">
        <f t="shared" si="30"/>
        <v>14.483968513821216</v>
      </c>
      <c r="S54" s="49">
        <f t="shared" si="30"/>
        <v>13.916029014297878</v>
      </c>
      <c r="T54" s="49">
        <f t="shared" si="30"/>
        <v>13.337461528301118</v>
      </c>
      <c r="U54" s="49">
        <f t="shared" si="30"/>
        <v>12.760180767478163</v>
      </c>
      <c r="V54" s="49">
        <f t="shared" si="30"/>
        <v>12.192205744907968</v>
      </c>
    </row>
    <row r="55" spans="2:22" x14ac:dyDescent="0.3"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22" x14ac:dyDescent="0.3">
      <c r="B56" s="47" t="s">
        <v>114</v>
      </c>
      <c r="C56" s="47"/>
      <c r="D56" s="47"/>
      <c r="E56" s="48">
        <f t="shared" ref="E56:V56" si="31">SUM($D$12*$D$13/10^8,-SUM($L$10:$L$13))/E47*E20/12</f>
        <v>20.501909090909091</v>
      </c>
      <c r="F56" s="48">
        <f t="shared" si="31"/>
        <v>18.187177419354839</v>
      </c>
      <c r="G56" s="48">
        <f t="shared" si="31"/>
        <v>51.25477272727273</v>
      </c>
      <c r="H56" s="48">
        <f t="shared" si="31"/>
        <v>13.423869047619048</v>
      </c>
      <c r="I56" s="48">
        <f t="shared" si="31"/>
        <v>10.842355769230769</v>
      </c>
      <c r="J56" s="48">
        <f t="shared" si="31"/>
        <v>15.661180555555555</v>
      </c>
      <c r="K56" s="48">
        <f t="shared" si="31"/>
        <v>14.45647435897436</v>
      </c>
      <c r="L56" s="48">
        <f t="shared" si="31"/>
        <v>12.813693181818183</v>
      </c>
      <c r="M56" s="48">
        <f t="shared" si="31"/>
        <v>10.842355769230769</v>
      </c>
      <c r="N56" s="48">
        <f t="shared" si="31"/>
        <v>8.8094140625000001</v>
      </c>
      <c r="O56" s="48">
        <f t="shared" si="31"/>
        <v>10.440787037037039</v>
      </c>
      <c r="P56" s="49">
        <f t="shared" si="31"/>
        <v>9.7712738301559785</v>
      </c>
      <c r="Q56" s="49">
        <f t="shared" si="31"/>
        <v>9.4636514151256232</v>
      </c>
      <c r="R56" s="49">
        <f t="shared" si="31"/>
        <v>9.1234178980567844</v>
      </c>
      <c r="S56" s="49">
        <f t="shared" si="31"/>
        <v>8.7656741353566527</v>
      </c>
      <c r="T56" s="49">
        <f t="shared" si="31"/>
        <v>8.4012358288290194</v>
      </c>
      <c r="U56" s="49">
        <f t="shared" si="31"/>
        <v>8.0376080274795356</v>
      </c>
      <c r="V56" s="49">
        <f t="shared" si="31"/>
        <v>7.6798418888952549</v>
      </c>
    </row>
    <row r="57" spans="2:22" x14ac:dyDescent="0.3">
      <c r="B57" s="47" t="s">
        <v>115</v>
      </c>
      <c r="C57" s="47"/>
      <c r="D57" s="47"/>
      <c r="E57" s="48">
        <f>summary!$L$9/E47*E20/12</f>
        <v>24.525522240215921</v>
      </c>
      <c r="F57" s="48">
        <f>summary!$L$9/F47*F20/12</f>
        <v>21.75651166470767</v>
      </c>
      <c r="G57" s="48">
        <f>summary!$L$9/G47*G20/12</f>
        <v>61.313805600539787</v>
      </c>
      <c r="H57" s="48">
        <f>summary!$L$9/H47*H20/12</f>
        <v>16.058377657284232</v>
      </c>
      <c r="I57" s="48">
        <f>summary!$L$9/I47*I20/12</f>
        <v>12.970228107806497</v>
      </c>
      <c r="J57" s="48">
        <f>summary!$L$9/J47*J20/12</f>
        <v>18.734773933498271</v>
      </c>
      <c r="K57" s="48">
        <f>summary!$L$9/K47*K20/12</f>
        <v>17.293637477075329</v>
      </c>
      <c r="L57" s="48">
        <f>summary!$L$9/L47*L20/12</f>
        <v>15.328451400134947</v>
      </c>
      <c r="M57" s="48">
        <f>summary!$L$9/M47*M20/12</f>
        <v>12.970228107806497</v>
      </c>
      <c r="N57" s="48">
        <f>summary!$L$9/N47*N20/12</f>
        <v>10.538310337592778</v>
      </c>
      <c r="O57" s="48">
        <f>summary!$L$9/O47*O20/12</f>
        <v>12.489849288998847</v>
      </c>
      <c r="P57" s="49">
        <f>summary!$L$9/P47*P20/12</f>
        <v>11.688940409115039</v>
      </c>
      <c r="Q57" s="49">
        <f>summary!$L$9/Q47*Q20/12</f>
        <v>11.320945392262617</v>
      </c>
      <c r="R57" s="49">
        <f>summary!$L$9/R47*R20/12</f>
        <v>10.913939164074884</v>
      </c>
      <c r="S57" s="49">
        <f>summary!$L$9/S47*S20/12</f>
        <v>10.485986207621131</v>
      </c>
      <c r="T57" s="49">
        <f>summary!$L$9/T47*T20/12</f>
        <v>10.050024866055463</v>
      </c>
      <c r="U57" s="49">
        <f>summary!$L$9/U47*U20/12</f>
        <v>9.6150330957957824</v>
      </c>
      <c r="V57" s="49">
        <f>summary!$L$9/V47*V20/12</f>
        <v>9.1870533720667531</v>
      </c>
    </row>
    <row r="58" spans="2:22" x14ac:dyDescent="0.3">
      <c r="B58" s="47"/>
      <c r="C58" s="47"/>
      <c r="D58" s="47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9"/>
      <c r="Q58" s="49"/>
      <c r="R58" s="49"/>
      <c r="S58" s="49"/>
      <c r="T58" s="49"/>
      <c r="U58" s="49"/>
      <c r="V58" s="49"/>
    </row>
    <row r="59" spans="2:22" x14ac:dyDescent="0.3">
      <c r="B59" s="47" t="s">
        <v>303</v>
      </c>
      <c r="C59" s="47"/>
      <c r="D59" s="47"/>
      <c r="E59" s="50">
        <f>SUM('detailed-financials'!E78,'detailed-financials'!E85,-'detailed-financials'!E58)</f>
        <v>6.8</v>
      </c>
      <c r="F59" s="50">
        <f>SUM('detailed-financials'!F78,'detailed-financials'!F85,-'detailed-financials'!F58)</f>
        <v>-1.5</v>
      </c>
      <c r="G59" s="50">
        <f>SUM('detailed-financials'!G78,'detailed-financials'!G85,-'detailed-financials'!G58)</f>
        <v>2.1</v>
      </c>
      <c r="H59" s="50">
        <f>SUM('detailed-financials'!H78,'detailed-financials'!H85,-'detailed-financials'!H58)</f>
        <v>8.5</v>
      </c>
      <c r="I59" s="50">
        <f>SUM('detailed-financials'!I78,'detailed-financials'!I85,-'detailed-financials'!I58)</f>
        <v>25.8</v>
      </c>
      <c r="J59" s="50">
        <f>SUM('detailed-financials'!J78,'detailed-financials'!J85,-'detailed-financials'!J58)</f>
        <v>-8.2000000000000011</v>
      </c>
      <c r="K59" s="50">
        <f>SUM('detailed-financials'!K78,'detailed-financials'!K85,-'detailed-financials'!K58)</f>
        <v>7.3000000000000007</v>
      </c>
      <c r="L59" s="50">
        <f>SUM('detailed-financials'!L78,'detailed-financials'!L85,-'detailed-financials'!L58)</f>
        <v>7.7</v>
      </c>
      <c r="M59" s="50">
        <f>SUM('detailed-financials'!M78,'detailed-financials'!M85,-'detailed-financials'!M58)</f>
        <v>15.5</v>
      </c>
      <c r="N59" s="50">
        <f>SUM('detailed-financials'!N78,'detailed-financials'!N85,-'detailed-financials'!N58)</f>
        <v>15.699999999999998</v>
      </c>
      <c r="O59" s="50">
        <f>SUM('detailed-financials'!O78,'detailed-financials'!O85,-'detailed-financials'!O58)</f>
        <v>-6.2</v>
      </c>
      <c r="P59" s="51">
        <f>SUM('detailed-financials'!P78,'detailed-financials'!P85,-'detailed-financials'!P58)</f>
        <v>28.073263431809846</v>
      </c>
      <c r="Q59" s="51">
        <f>SUM('detailed-financials'!Q78,'detailed-financials'!Q85,-'detailed-financials'!Q58)</f>
        <v>8.6315964301434907</v>
      </c>
      <c r="R59" s="51">
        <f>SUM('detailed-financials'!R78,'detailed-financials'!R85,-'detailed-financials'!R58)</f>
        <v>9.1010295887230193</v>
      </c>
      <c r="S59" s="51">
        <f>SUM('detailed-financials'!S78,'detailed-financials'!S85,-'detailed-financials'!S58)</f>
        <v>9.5844710709634278</v>
      </c>
      <c r="T59" s="51">
        <f>SUM('detailed-financials'!T78,'detailed-financials'!T85,-'detailed-financials'!T58)</f>
        <v>10.084987126614804</v>
      </c>
      <c r="U59" s="51">
        <f>SUM('detailed-financials'!U78,'detailed-financials'!U85,-'detailed-financials'!U58)</f>
        <v>10.605205859522922</v>
      </c>
      <c r="V59" s="51">
        <f>SUM('detailed-financials'!V78,'detailed-financials'!V85,-'detailed-financials'!V58)</f>
        <v>11.147443184932111</v>
      </c>
    </row>
    <row r="60" spans="2:22" x14ac:dyDescent="0.3">
      <c r="B60" s="47" t="s">
        <v>302</v>
      </c>
      <c r="C60" s="47"/>
      <c r="D60" s="47"/>
      <c r="E60" s="48">
        <f>SUM($D$12*$D$13/10^8,-SUM($L$10:$L$13))/SUM('detailed-financials'!E78,'detailed-financials'!E85,-'detailed-financials'!E58)*E20/12</f>
        <v>16.582426470588238</v>
      </c>
      <c r="F60" s="48">
        <f>SUM($D$12*$D$13/10^8,-SUM($L$10:$L$13))/SUM('detailed-financials'!F78,'detailed-financials'!F85,-'detailed-financials'!F58)*F20/12</f>
        <v>-75.173666666666676</v>
      </c>
      <c r="G60" s="48">
        <f>SUM($D$12*$D$13/10^8,-SUM($L$10:$L$13))/SUM('detailed-financials'!G78,'detailed-financials'!G85,-'detailed-financials'!G58)*G20/12</f>
        <v>53.695476190476192</v>
      </c>
      <c r="H60" s="48">
        <f>SUM($D$12*$D$13/10^8,-SUM($L$10:$L$13))/SUM('detailed-financials'!H78,'detailed-financials'!H85,-'detailed-financials'!H58)*H20/12</f>
        <v>6.6329705882352945</v>
      </c>
      <c r="I60" s="48">
        <f>SUM($D$12*$D$13/10^8,-SUM($L$10:$L$13))/SUM('detailed-financials'!I78,'detailed-financials'!I85,-'detailed-financials'!I58)*I20/12</f>
        <v>4.370562015503876</v>
      </c>
      <c r="J60" s="48">
        <f>SUM($D$12*$D$13/10^8,-SUM($L$10:$L$13))/SUM('detailed-financials'!J78,'detailed-financials'!J85,-'detailed-financials'!J58)*J20/12</f>
        <v>-6.8756402439024384</v>
      </c>
      <c r="K60" s="48">
        <f>SUM($D$12*$D$13/10^8,-SUM($L$10:$L$13))/SUM('detailed-financials'!K78,'detailed-financials'!K85,-'detailed-financials'!K58)*K20/12</f>
        <v>15.446643835616436</v>
      </c>
      <c r="L60" s="48">
        <f>SUM($D$12*$D$13/10^8,-SUM($L$10:$L$13))/SUM('detailed-financials'!L78,'detailed-financials'!L85,-'detailed-financials'!L58)*L20/12</f>
        <v>7.3221103896103896</v>
      </c>
      <c r="M60" s="48">
        <f>SUM($D$12*$D$13/10^8,-SUM($L$10:$L$13))/SUM('detailed-financials'!M78,'detailed-financials'!M85,-'detailed-financials'!M58)*M20/12</f>
        <v>7.2748709677419363</v>
      </c>
      <c r="N60" s="48">
        <f>SUM($D$12*$D$13/10^8,-SUM($L$10:$L$13))/SUM('detailed-financials'!N78,'detailed-financials'!N85,-'detailed-financials'!N58)*N20/12</f>
        <v>3.5910987261146503</v>
      </c>
      <c r="O60" s="48">
        <f>SUM($D$12*$D$13/10^8,-SUM($L$10:$L$13))/SUM('detailed-financials'!O78,'detailed-financials'!O85,-'detailed-financials'!O58)*O20/12</f>
        <v>-13.640383064516129</v>
      </c>
      <c r="P60" s="49">
        <f>SUM($D$12*$D$13/10^8,-SUM($L$10:$L$13))/SUM('detailed-financials'!P78,'detailed-financials'!P85,-'detailed-financials'!P58)*P20/12</f>
        <v>4.0166509417010268</v>
      </c>
      <c r="Q60" s="49">
        <f>SUM($D$12*$D$13/10^8,-SUM($L$10:$L$13))/SUM('detailed-financials'!Q78,'detailed-financials'!Q85,-'detailed-financials'!Q58)*Q20/12</f>
        <v>13.063690003649242</v>
      </c>
      <c r="R60" s="49">
        <f>SUM($D$12*$D$13/10^8,-SUM($L$10:$L$13))/SUM('detailed-financials'!R78,'detailed-financials'!R85,-'detailed-financials'!R58)*R20/12</f>
        <v>12.389861927239556</v>
      </c>
      <c r="S60" s="49">
        <f>SUM($D$12*$D$13/10^8,-SUM($L$10:$L$13))/SUM('detailed-financials'!S78,'detailed-financials'!S85,-'detailed-financials'!S58)*S20/12</f>
        <v>11.764916307339364</v>
      </c>
      <c r="T60" s="49">
        <f>SUM($D$12*$D$13/10^8,-SUM($L$10:$L$13))/SUM('detailed-financials'!T78,'detailed-financials'!T85,-'detailed-financials'!T58)*T20/12</f>
        <v>11.181025675523095</v>
      </c>
      <c r="U60" s="49">
        <f>SUM($D$12*$D$13/10^8,-SUM($L$10:$L$13))/SUM('detailed-financials'!U78,'detailed-financials'!U85,-'detailed-financials'!U58)*U20/12</f>
        <v>10.63256116794253</v>
      </c>
      <c r="V60" s="49">
        <f>SUM($D$12*$D$13/10^8,-SUM($L$10:$L$13))/SUM('detailed-financials'!V78,'detailed-financials'!V85,-'detailed-financials'!V58)*V20/12</f>
        <v>10.115368890367368</v>
      </c>
    </row>
    <row r="62" spans="2:22" x14ac:dyDescent="0.3">
      <c r="B62" s="2" t="str">
        <f>"Discounted Cash Flow ("&amp;cover!E10&amp;")"</f>
        <v>Discounted Cash Flow (£m)</v>
      </c>
      <c r="C62" s="2"/>
      <c r="D62" s="5" t="s">
        <v>77</v>
      </c>
      <c r="E62" s="5">
        <f t="shared" ref="E62:K62" si="32">YEAR(E64)</f>
        <v>2023</v>
      </c>
      <c r="F62" s="2">
        <f t="shared" si="32"/>
        <v>2024</v>
      </c>
      <c r="G62" s="2">
        <f t="shared" si="32"/>
        <v>2025</v>
      </c>
      <c r="H62" s="5">
        <f t="shared" si="32"/>
        <v>2026</v>
      </c>
      <c r="I62" s="5">
        <f t="shared" si="32"/>
        <v>2027</v>
      </c>
      <c r="J62" s="5">
        <f t="shared" si="32"/>
        <v>2028</v>
      </c>
      <c r="K62" s="5">
        <f t="shared" si="32"/>
        <v>2029</v>
      </c>
      <c r="L62" s="5" t="s">
        <v>78</v>
      </c>
    </row>
    <row r="63" spans="2:22" x14ac:dyDescent="0.3">
      <c r="E63" s="1"/>
    </row>
    <row r="64" spans="2:22" x14ac:dyDescent="0.3">
      <c r="B64" s="1" t="s">
        <v>15</v>
      </c>
      <c r="D64" s="16">
        <f>D10</f>
        <v>45055</v>
      </c>
      <c r="E64" s="16">
        <f>EOMONTH(D11,12)</f>
        <v>45291</v>
      </c>
      <c r="F64" s="16">
        <f t="shared" ref="F64:K64" si="33">DATE(YEAR(E64)+1,MONTH(E64),DAY(E64))</f>
        <v>45657</v>
      </c>
      <c r="G64" s="16">
        <f t="shared" si="33"/>
        <v>46022</v>
      </c>
      <c r="H64" s="16">
        <f t="shared" si="33"/>
        <v>46387</v>
      </c>
      <c r="I64" s="16">
        <f t="shared" si="33"/>
        <v>46752</v>
      </c>
      <c r="J64" s="16">
        <f t="shared" si="33"/>
        <v>47118</v>
      </c>
      <c r="K64" s="16">
        <f t="shared" si="33"/>
        <v>47483</v>
      </c>
      <c r="L64" s="16">
        <f>K64</f>
        <v>47483</v>
      </c>
    </row>
    <row r="65" spans="2:12" x14ac:dyDescent="0.3">
      <c r="B65" s="1" t="s">
        <v>105</v>
      </c>
      <c r="D65" s="16"/>
      <c r="E65" s="18">
        <f>MIN(1,YEARFRAC($D$11,E64))</f>
        <v>1</v>
      </c>
      <c r="F65" s="18">
        <f t="shared" ref="F65:L65" si="34">MIN(1,YEARFRAC($D$11,F64))</f>
        <v>1</v>
      </c>
      <c r="G65" s="18">
        <f t="shared" si="34"/>
        <v>1</v>
      </c>
      <c r="H65" s="18">
        <f t="shared" si="34"/>
        <v>1</v>
      </c>
      <c r="I65" s="18">
        <f t="shared" si="34"/>
        <v>1</v>
      </c>
      <c r="J65" s="18">
        <f t="shared" si="34"/>
        <v>1</v>
      </c>
      <c r="K65" s="18">
        <f t="shared" si="34"/>
        <v>1</v>
      </c>
      <c r="L65" s="18">
        <f t="shared" si="34"/>
        <v>1</v>
      </c>
    </row>
    <row r="66" spans="2:12" x14ac:dyDescent="0.3">
      <c r="B66" s="1" t="s">
        <v>79</v>
      </c>
      <c r="E66" s="36">
        <f t="shared" ref="E66:K66" si="35">IF($D$64&gt;E64,0,YEARFRAC($D$64,E64))</f>
        <v>0.64444444444444449</v>
      </c>
      <c r="F66" s="36">
        <f t="shared" si="35"/>
        <v>1.6444444444444444</v>
      </c>
      <c r="G66" s="36">
        <f t="shared" si="35"/>
        <v>2.6444444444444444</v>
      </c>
      <c r="H66" s="36">
        <f t="shared" si="35"/>
        <v>3.6444444444444444</v>
      </c>
      <c r="I66" s="36">
        <f t="shared" si="35"/>
        <v>4.6444444444444448</v>
      </c>
      <c r="J66" s="36">
        <f t="shared" si="35"/>
        <v>5.6444444444444448</v>
      </c>
      <c r="K66" s="36">
        <f t="shared" si="35"/>
        <v>6.6444444444444448</v>
      </c>
      <c r="L66" s="36">
        <f>K66</f>
        <v>6.6444444444444448</v>
      </c>
    </row>
    <row r="67" spans="2:12" x14ac:dyDescent="0.3">
      <c r="B67" s="1" t="s">
        <v>38</v>
      </c>
      <c r="D67" s="19"/>
      <c r="E67" s="24">
        <f>INDEX('detailed-financials'!$E$57:$YY$57,MATCH(summary!E64,'detailed-financials'!$E$6:$YY$6,0))</f>
        <v>11.540000000000001</v>
      </c>
      <c r="F67" s="24">
        <f>INDEX('detailed-financials'!$E$57:$YY$57,MATCH(summary!F64,'detailed-financials'!$E$6:$YY$6,0))</f>
        <v>11.915115535614135</v>
      </c>
      <c r="G67" s="24">
        <f>INDEX('detailed-financials'!$E$57:$YY$57,MATCH(summary!G64,'detailed-financials'!$E$6:$YY$6,0))</f>
        <v>12.359457964105436</v>
      </c>
      <c r="H67" s="24">
        <f>INDEX('detailed-financials'!$E$57:$YY$57,MATCH(summary!H64,'detailed-financials'!$E$6:$YY$6,0))</f>
        <v>12.863870851093653</v>
      </c>
      <c r="I67" s="24">
        <f>INDEX('detailed-financials'!$E$57:$YY$57,MATCH(summary!I64,'detailed-financials'!$E$6:$YY$6,0))</f>
        <v>13.421894385235557</v>
      </c>
      <c r="J67" s="24">
        <f>INDEX('detailed-financials'!$E$57:$YY$57,MATCH(summary!J64,'detailed-financials'!$E$6:$YY$6,0))</f>
        <v>14.029111598187738</v>
      </c>
      <c r="K67" s="24">
        <f>INDEX('detailed-financials'!$E$57:$YY$57,MATCH(summary!K64,'detailed-financials'!$E$6:$YY$6,0))</f>
        <v>14.68265904836494</v>
      </c>
      <c r="L67" s="62">
        <f>K67*(1+$D$9)</f>
        <v>14.976312229332239</v>
      </c>
    </row>
    <row r="68" spans="2:12" x14ac:dyDescent="0.3">
      <c r="B68" s="21" t="s">
        <v>118</v>
      </c>
      <c r="D68" s="19"/>
      <c r="E68" s="43">
        <f t="shared" ref="E68:L68" si="36">INDEX($M$30:$ZY$30,MATCH(E64,$M$19:$ZY$19,0))</f>
        <v>0.25</v>
      </c>
      <c r="F68" s="43">
        <f t="shared" si="36"/>
        <v>0.25</v>
      </c>
      <c r="G68" s="43">
        <f t="shared" si="36"/>
        <v>0.25</v>
      </c>
      <c r="H68" s="43">
        <f t="shared" si="36"/>
        <v>0.25</v>
      </c>
      <c r="I68" s="43">
        <f t="shared" si="36"/>
        <v>0.25</v>
      </c>
      <c r="J68" s="43">
        <f t="shared" si="36"/>
        <v>0.25</v>
      </c>
      <c r="K68" s="43">
        <f t="shared" si="36"/>
        <v>0.25</v>
      </c>
      <c r="L68" s="43">
        <f t="shared" si="36"/>
        <v>0.25</v>
      </c>
    </row>
    <row r="69" spans="2:12" x14ac:dyDescent="0.3">
      <c r="B69" s="1" t="s">
        <v>80</v>
      </c>
      <c r="D69" s="19"/>
      <c r="E69" s="24">
        <f t="shared" ref="E69:L69" si="37">-E67*E68</f>
        <v>-2.8850000000000002</v>
      </c>
      <c r="F69" s="24">
        <f t="shared" si="37"/>
        <v>-2.9787788839035336</v>
      </c>
      <c r="G69" s="24">
        <f t="shared" si="37"/>
        <v>-3.0898644910263591</v>
      </c>
      <c r="H69" s="24">
        <f t="shared" si="37"/>
        <v>-3.2159677127734132</v>
      </c>
      <c r="I69" s="24">
        <f t="shared" si="37"/>
        <v>-3.3554735963088893</v>
      </c>
      <c r="J69" s="24">
        <f t="shared" si="37"/>
        <v>-3.5072778995469345</v>
      </c>
      <c r="K69" s="24">
        <f t="shared" si="37"/>
        <v>-3.6706647620912349</v>
      </c>
      <c r="L69" s="62">
        <f t="shared" si="37"/>
        <v>-3.7440780573330597</v>
      </c>
    </row>
    <row r="70" spans="2:12" x14ac:dyDescent="0.3">
      <c r="B70" s="1" t="s">
        <v>81</v>
      </c>
      <c r="D70" s="19"/>
      <c r="E70" s="24">
        <f>-INDEX('detailed-financials'!$E$56:$YY$56,MATCH(summary!E64,'detailed-financials'!$E$6:$YY$6,0))</f>
        <v>2.6</v>
      </c>
      <c r="F70" s="24">
        <f>-INDEX('detailed-financials'!$E$56:$YY$56,MATCH(summary!F64,'detailed-financials'!$E$6:$YY$6,0))</f>
        <v>2.9318844643858668</v>
      </c>
      <c r="G70" s="24">
        <f>-INDEX('detailed-financials'!$E$56:$YY$56,MATCH(summary!G64,'detailed-financials'!$E$6:$YY$6,0))</f>
        <v>3.2298920358945602</v>
      </c>
      <c r="H70" s="24">
        <f>-INDEX('detailed-financials'!$E$56:$YY$56,MATCH(summary!H64,'detailed-financials'!$E$6:$YY$6,0))</f>
        <v>3.5049466489063383</v>
      </c>
      <c r="I70" s="24">
        <f>-INDEX('detailed-financials'!$E$56:$YY$56,MATCH(summary!I64,'detailed-financials'!$E$6:$YY$6,0))</f>
        <v>3.7653639897644426</v>
      </c>
      <c r="J70" s="24">
        <f>-INDEX('detailed-financials'!$E$56:$YY$56,MATCH(summary!J64,'detailed-financials'!$E$6:$YY$6,0))</f>
        <v>4.0175096955622553</v>
      </c>
      <c r="K70" s="24">
        <f>-INDEX('detailed-financials'!$E$56:$YY$56,MATCH(summary!K64,'detailed-financials'!$E$6:$YY$6,0))</f>
        <v>4.2662933100725615</v>
      </c>
      <c r="L70" s="62">
        <f>K70/$K$67*$L$67</f>
        <v>4.3516191762740126</v>
      </c>
    </row>
    <row r="71" spans="2:12" x14ac:dyDescent="0.3">
      <c r="B71" s="1" t="s">
        <v>82</v>
      </c>
      <c r="D71" s="19"/>
      <c r="E71" s="24">
        <f>INDEX('detailed-financials'!$E$79:$YY$79,MATCH(summary!E64,'detailed-financials'!$E$6:$YY$6,0))</f>
        <v>-3.9275378575434665</v>
      </c>
      <c r="F71" s="24">
        <f>INDEX('detailed-financials'!$E$79:$YY$79,MATCH(summary!F64,'detailed-financials'!$E$6:$YY$6,0))</f>
        <v>-4.1239147504206404</v>
      </c>
      <c r="G71" s="24">
        <f>INDEX('detailed-financials'!$E$79:$YY$79,MATCH(summary!G64,'detailed-financials'!$E$6:$YY$6,0))</f>
        <v>-4.3301104879416723</v>
      </c>
      <c r="H71" s="24">
        <f>INDEX('detailed-financials'!$E$79:$YY$79,MATCH(summary!H64,'detailed-financials'!$E$6:$YY$6,0))</f>
        <v>-4.546616012338756</v>
      </c>
      <c r="I71" s="24">
        <f>INDEX('detailed-financials'!$E$79:$YY$79,MATCH(summary!I64,'detailed-financials'!$E$6:$YY$6,0))</f>
        <v>-4.7739468129556943</v>
      </c>
      <c r="J71" s="24">
        <f>INDEX('detailed-financials'!$E$79:$YY$79,MATCH(summary!J64,'detailed-financials'!$E$6:$YY$6,0))</f>
        <v>-5.0126441536034791</v>
      </c>
      <c r="K71" s="24">
        <f>INDEX('detailed-financials'!$E$79:$YY$79,MATCH(summary!K64,'detailed-financials'!$E$6:$YY$6,0))</f>
        <v>-5.2632763612836539</v>
      </c>
      <c r="L71" s="62">
        <f>K71/$K$67*$L$67</f>
        <v>-5.368541888509327</v>
      </c>
    </row>
    <row r="72" spans="2:12" x14ac:dyDescent="0.3">
      <c r="B72" s="1" t="s">
        <v>83</v>
      </c>
      <c r="D72" s="19"/>
      <c r="E72" s="24">
        <f>INDEX('detailed-financials'!$E$74:$YY$74,MATCH(summary!E64,'detailed-financials'!$E$6:$YY$6,0))</f>
        <v>20.745801289353309</v>
      </c>
      <c r="F72" s="24">
        <f>INDEX('detailed-financials'!$E$74:$YY$74,MATCH(summary!F64,'detailed-financials'!$E$6:$YY$6,0))</f>
        <v>0.88729006446766334</v>
      </c>
      <c r="G72" s="24">
        <f>INDEX('detailed-financials'!$E$74:$YY$74,MATCH(summary!G64,'detailed-financials'!$E$6:$YY$6,0))</f>
        <v>0.93165456769105504</v>
      </c>
      <c r="H72" s="24">
        <f>INDEX('detailed-financials'!$E$74:$YY$74,MATCH(summary!H64,'detailed-financials'!$E$6:$YY$6,0))</f>
        <v>0.97823729607560495</v>
      </c>
      <c r="I72" s="24">
        <f>INDEX('detailed-financials'!$E$74:$YY$74,MATCH(summary!I64,'detailed-financials'!$E$6:$YY$6,0))</f>
        <v>1.0271491608793895</v>
      </c>
      <c r="J72" s="24">
        <f>INDEX('detailed-financials'!$E$74:$YY$74,MATCH(summary!J64,'detailed-financials'!$E$6:$YY$6,0))</f>
        <v>1.0785066189233419</v>
      </c>
      <c r="K72" s="24">
        <f>INDEX('detailed-financials'!$E$74:$YY$74,MATCH(summary!K64,'detailed-financials'!$E$6:$YY$6,0))</f>
        <v>1.132431949869499</v>
      </c>
      <c r="L72" s="62">
        <f>(L67-K67)/(K67-E67)*SUM(E72:K72)</f>
        <v>2.502449852924844</v>
      </c>
    </row>
    <row r="73" spans="2:12" x14ac:dyDescent="0.3">
      <c r="B73" s="1" t="s">
        <v>85</v>
      </c>
      <c r="D73" s="19"/>
      <c r="E73" s="24">
        <f>SUM(E69:E72,E67)*E65</f>
        <v>28.073263431809842</v>
      </c>
      <c r="F73" s="24">
        <f t="shared" ref="F73:L73" si="38">SUM(F69:F72,F67)*F65</f>
        <v>8.6315964301434907</v>
      </c>
      <c r="G73" s="24">
        <f t="shared" si="38"/>
        <v>9.1010295887230193</v>
      </c>
      <c r="H73" s="24">
        <f t="shared" si="38"/>
        <v>9.5844710709634278</v>
      </c>
      <c r="I73" s="24">
        <f t="shared" si="38"/>
        <v>10.084987126614806</v>
      </c>
      <c r="J73" s="24">
        <f t="shared" si="38"/>
        <v>10.605205859522922</v>
      </c>
      <c r="K73" s="24">
        <f t="shared" si="38"/>
        <v>11.147443184932111</v>
      </c>
      <c r="L73" s="24">
        <f t="shared" si="38"/>
        <v>12.717761312688708</v>
      </c>
    </row>
    <row r="74" spans="2:12" x14ac:dyDescent="0.3">
      <c r="B74" s="1" t="s">
        <v>96</v>
      </c>
      <c r="D74" s="19"/>
      <c r="E74" s="19"/>
      <c r="F74" s="19"/>
      <c r="G74" s="19"/>
      <c r="H74" s="19"/>
      <c r="I74" s="19"/>
      <c r="J74" s="19"/>
      <c r="K74" s="19"/>
      <c r="L74" s="37">
        <f>($L$73*(1+$D$9))/($D$8-$D$9)</f>
        <v>142.05121045710123</v>
      </c>
    </row>
    <row r="75" spans="2:12" x14ac:dyDescent="0.3">
      <c r="B75" s="1" t="s">
        <v>97</v>
      </c>
      <c r="D75" s="19"/>
      <c r="E75" s="24">
        <f>E73/(1+$D$8)^E66</f>
        <v>26.227212084729018</v>
      </c>
      <c r="F75" s="24">
        <f t="shared" ref="F75:K75" si="39">F73/(1+$D$8)^F66</f>
        <v>7.2562330675546178</v>
      </c>
      <c r="G75" s="24">
        <f t="shared" si="39"/>
        <v>6.8844855543684105</v>
      </c>
      <c r="H75" s="24">
        <f t="shared" si="39"/>
        <v>6.5239404368444509</v>
      </c>
      <c r="I75" s="24">
        <f t="shared" si="39"/>
        <v>6.1770064432519352</v>
      </c>
      <c r="J75" s="24">
        <f t="shared" si="39"/>
        <v>5.8449752837068418</v>
      </c>
      <c r="K75" s="24">
        <f t="shared" si="39"/>
        <v>5.5284032452720604</v>
      </c>
      <c r="L75" s="24">
        <f>L74/(1+$D$8)^L66</f>
        <v>70.448116205460209</v>
      </c>
    </row>
    <row r="76" spans="2:12" x14ac:dyDescent="0.3">
      <c r="D76" s="19"/>
      <c r="E76" s="20"/>
      <c r="F76" s="19"/>
      <c r="G76" s="19"/>
      <c r="H76" s="19"/>
      <c r="I76" s="19"/>
      <c r="J76" s="19"/>
    </row>
    <row r="83" spans="11:11" x14ac:dyDescent="0.3">
      <c r="K83" s="1" t="s">
        <v>307</v>
      </c>
    </row>
  </sheetData>
  <sheetProtection algorithmName="SHA-512" hashValue="UXRjg/fpXU0pLbnIcpkRf0X48uAJnGZlDIpLSUIFWFtrwzU5alOBUAMILfV5Y7jMXVvu9VZH+sW1fix1YZsPRw==" saltValue="pXWanN1bNDqnOQ3X4/n8DQ==" spinCount="100000" sheet="1" formatCells="0" formatColumns="0" formatRows="0" insertColumns="0" insertRows="0" insertHyperlinks="0" deleteColumns="0" deleteRows="0" selectLockedCells="1" sort="0" autoFilter="0" pivotTables="0"/>
  <conditionalFormatting sqref="D1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3" id="{E8FF0C00-272B-44E0-9369-8764AD5348F8}">
            <xm:f>D$15&gt;cover!$E$14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E67:F67 H67:K67 E70:F72 H70:K72</xm:sqref>
        </x14:conditionalFormatting>
        <x14:conditionalFormatting xmlns:xm="http://schemas.microsoft.com/office/excel/2006/main">
          <x14:cfRule type="expression" priority="19" id="{E3298429-3BA3-4781-AF4F-0CE3148DC9A9}">
            <xm:f>E$19&gt;cover!$E$13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E48:O48 E24:O37 E50:O51 E41:O46</xm:sqref>
        </x14:conditionalFormatting>
        <x14:conditionalFormatting xmlns:xm="http://schemas.microsoft.com/office/excel/2006/main">
          <x14:cfRule type="expression" priority="12" id="{699A536D-8A4B-46C5-B510-BA0959C6B272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F67 F70:F72 H70:H72 H67</xm:sqref>
        </x14:conditionalFormatting>
        <x14:conditionalFormatting xmlns:xm="http://schemas.microsoft.com/office/excel/2006/main">
          <x14:cfRule type="expression" priority="59" id="{E8FF0C00-272B-44E0-9369-8764AD5348F8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I67 K67 I70:I72 K70:K72</xm:sqref>
        </x14:conditionalFormatting>
        <x14:conditionalFormatting xmlns:xm="http://schemas.microsoft.com/office/excel/2006/main">
          <x14:cfRule type="expression" priority="9" id="{8B205539-E932-4649-B9DE-254DB7AA75FF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J67 J70:J72</xm:sqref>
        </x14:conditionalFormatting>
        <x14:conditionalFormatting xmlns:xm="http://schemas.microsoft.com/office/excel/2006/main">
          <x14:cfRule type="expression" priority="65" id="{E3298429-3BA3-4781-AF4F-0CE3148DC9A9}">
            <xm:f>V$19&lt;cover!$E$13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P24:V26 P28:V33 P35:V36</xm:sqref>
        </x14:conditionalFormatting>
        <x14:conditionalFormatting xmlns:xm="http://schemas.microsoft.com/office/excel/2006/main">
          <x14:cfRule type="expression" priority="1" id="{557F3D3C-8FFE-4B44-BF6E-AF387E22A99B}">
            <xm:f>P$19&gt;cover!$E$13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P35:P36 P28:P33 P24:Q24 P25:V26 P29:V29 P33:V33 P36:V36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3B2A8-5C40-4A5F-9E02-CB49A082C27D}">
  <sheetPr>
    <tabColor theme="4" tint="0.79998168889431442"/>
  </sheetPr>
  <dimension ref="A1:I26"/>
  <sheetViews>
    <sheetView topLeftCell="A4" workbookViewId="0">
      <selection activeCell="E10" sqref="E10"/>
    </sheetView>
  </sheetViews>
  <sheetFormatPr defaultColWidth="9.109375" defaultRowHeight="14.4" x14ac:dyDescent="0.3"/>
  <cols>
    <col min="1" max="1" width="2.6640625" style="1" customWidth="1"/>
    <col min="2" max="4" width="12.6640625" style="1" customWidth="1"/>
    <col min="5" max="5" width="12.6640625" style="8" customWidth="1"/>
    <col min="6" max="9" width="12.6640625" style="1" customWidth="1"/>
    <col min="10" max="10" width="14.33203125" style="1" bestFit="1" customWidth="1"/>
    <col min="11" max="50" width="12.6640625" style="1" customWidth="1"/>
    <col min="51" max="16384" width="9.109375" style="1"/>
  </cols>
  <sheetData>
    <row r="1" spans="1:9" ht="33.6" x14ac:dyDescent="0.65">
      <c r="B1" s="65" t="s">
        <v>130</v>
      </c>
    </row>
    <row r="2" spans="1:9" s="15" customFormat="1" ht="15" thickBot="1" x14ac:dyDescent="0.35">
      <c r="A2" s="13"/>
      <c r="B2" s="14" t="str">
        <f>UPPER(cover!E8&amp;" - "&amp;DAY(cover!E12)&amp;"/"&amp;MONTH(cover!E12)&amp;"/"&amp;YEAR(cover!E12))</f>
        <v>ARGENTEX GROUP PLC - 9/5/2023</v>
      </c>
      <c r="E2" s="13"/>
    </row>
    <row r="3" spans="1:9" ht="15" thickTop="1" x14ac:dyDescent="0.3">
      <c r="B3" s="25" t="str">
        <f>IF(checks!E10&lt;&gt;0,"**ERROR**","")</f>
        <v/>
      </c>
    </row>
    <row r="4" spans="1:9" s="3" customFormat="1" x14ac:dyDescent="0.3">
      <c r="A4" s="5"/>
      <c r="B4" s="2" t="s">
        <v>57</v>
      </c>
      <c r="E4" s="4"/>
    </row>
    <row r="6" spans="1:9" x14ac:dyDescent="0.3">
      <c r="B6" s="2" t="s">
        <v>109</v>
      </c>
      <c r="C6" s="3"/>
      <c r="D6" s="3"/>
      <c r="E6" s="4"/>
      <c r="F6" s="4"/>
      <c r="G6" s="4"/>
      <c r="H6" s="4"/>
      <c r="I6" s="4"/>
    </row>
    <row r="8" spans="1:9" x14ac:dyDescent="0.3">
      <c r="B8" s="2" t="s">
        <v>92</v>
      </c>
      <c r="C8" s="3"/>
      <c r="D8" s="3"/>
      <c r="E8" s="4"/>
      <c r="G8" s="2" t="s">
        <v>57</v>
      </c>
      <c r="H8" s="2"/>
      <c r="I8" s="5"/>
    </row>
    <row r="10" spans="1:9" x14ac:dyDescent="0.3">
      <c r="B10" s="1" t="s">
        <v>70</v>
      </c>
      <c r="E10" s="63">
        <v>4.1320000000000003E-2</v>
      </c>
      <c r="G10" s="1" t="s">
        <v>58</v>
      </c>
      <c r="I10" s="34">
        <f>E16</f>
        <v>1</v>
      </c>
    </row>
    <row r="11" spans="1:9" x14ac:dyDescent="0.3">
      <c r="B11" s="1" t="s">
        <v>71</v>
      </c>
      <c r="E11" s="63">
        <v>7.0000000000000007E-2</v>
      </c>
      <c r="F11" s="42"/>
      <c r="G11" s="1" t="s">
        <v>59</v>
      </c>
      <c r="I11" s="32">
        <f>MAX(0,-SUM(summary!L10:L12)/WACC!E13)</f>
        <v>0</v>
      </c>
    </row>
    <row r="12" spans="1:9" x14ac:dyDescent="0.3">
      <c r="B12" s="1" t="s">
        <v>72</v>
      </c>
      <c r="E12" s="63">
        <f>summary!O29</f>
        <v>6.2992125984251968E-2</v>
      </c>
      <c r="G12" s="1" t="s">
        <v>60</v>
      </c>
      <c r="I12" s="35">
        <f>$E$15</f>
        <v>0.25</v>
      </c>
    </row>
    <row r="13" spans="1:9" x14ac:dyDescent="0.3">
      <c r="B13" s="1" t="s">
        <v>298</v>
      </c>
      <c r="E13" s="60">
        <v>133.58000000000001</v>
      </c>
      <c r="G13" s="1" t="s">
        <v>61</v>
      </c>
      <c r="I13" s="31">
        <f>I10*(1+(1-I12)*(I11))</f>
        <v>1</v>
      </c>
    </row>
    <row r="14" spans="1:9" x14ac:dyDescent="0.3">
      <c r="B14" s="1" t="s">
        <v>299</v>
      </c>
      <c r="E14" s="64">
        <v>118.5</v>
      </c>
    </row>
    <row r="15" spans="1:9" x14ac:dyDescent="0.3">
      <c r="B15" s="1" t="s">
        <v>93</v>
      </c>
      <c r="E15" s="63">
        <v>0.25</v>
      </c>
      <c r="G15" s="1" t="s">
        <v>62</v>
      </c>
      <c r="I15" s="35">
        <f>WACC!$E$10</f>
        <v>4.1320000000000003E-2</v>
      </c>
    </row>
    <row r="16" spans="1:9" x14ac:dyDescent="0.3">
      <c r="B16" s="1" t="s">
        <v>312</v>
      </c>
      <c r="E16" s="64">
        <v>1</v>
      </c>
      <c r="G16" s="1" t="s">
        <v>63</v>
      </c>
      <c r="I16" s="35">
        <f>WACC!$E$11</f>
        <v>7.0000000000000007E-2</v>
      </c>
    </row>
    <row r="17" spans="2:9" x14ac:dyDescent="0.3">
      <c r="B17" s="1" t="s">
        <v>94</v>
      </c>
      <c r="E17" s="63">
        <v>0</v>
      </c>
      <c r="G17" s="1" t="s">
        <v>64</v>
      </c>
      <c r="I17" s="40">
        <f>$E$17</f>
        <v>0</v>
      </c>
    </row>
    <row r="18" spans="2:9" x14ac:dyDescent="0.3">
      <c r="E18" s="1"/>
      <c r="G18" s="1" t="s">
        <v>65</v>
      </c>
      <c r="I18" s="32">
        <f>I16*I13+I15+I17</f>
        <v>0.11132</v>
      </c>
    </row>
    <row r="19" spans="2:9" x14ac:dyDescent="0.3">
      <c r="E19" s="1"/>
      <c r="G19" s="1" t="s">
        <v>66</v>
      </c>
      <c r="I19" s="59">
        <f>I18</f>
        <v>0.11132</v>
      </c>
    </row>
    <row r="20" spans="2:9" x14ac:dyDescent="0.3">
      <c r="E20" s="1"/>
      <c r="I20" s="33"/>
    </row>
    <row r="21" spans="2:9" x14ac:dyDescent="0.3">
      <c r="E21" s="1"/>
      <c r="G21" s="1" t="s">
        <v>67</v>
      </c>
      <c r="I21" s="35">
        <f>WACC!$E$12</f>
        <v>6.2992125984251968E-2</v>
      </c>
    </row>
    <row r="22" spans="2:9" x14ac:dyDescent="0.3">
      <c r="E22" s="1"/>
      <c r="G22" s="1" t="s">
        <v>68</v>
      </c>
      <c r="I22" s="32">
        <f>I21*(1-I12)</f>
        <v>4.7244094488188976E-2</v>
      </c>
    </row>
    <row r="23" spans="2:9" x14ac:dyDescent="0.3">
      <c r="E23" s="1"/>
      <c r="I23" s="33"/>
    </row>
    <row r="24" spans="2:9" x14ac:dyDescent="0.3">
      <c r="E24" s="1"/>
      <c r="G24" s="1" t="s">
        <v>57</v>
      </c>
      <c r="I24" s="32">
        <f>(I11/(1+I11))*I22+((1-I11/(1+I11))*I19)</f>
        <v>0.11132</v>
      </c>
    </row>
    <row r="25" spans="2:9" x14ac:dyDescent="0.3">
      <c r="E25" s="1"/>
      <c r="G25" s="1" t="s">
        <v>69</v>
      </c>
      <c r="I25" s="59">
        <f>I24</f>
        <v>0.11132</v>
      </c>
    </row>
    <row r="26" spans="2:9" x14ac:dyDescent="0.3">
      <c r="E26" s="1"/>
    </row>
  </sheetData>
  <sheetProtection selectLockedCells="1"/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A531-A092-4387-AB46-45A4AD3DAB9E}">
  <sheetPr>
    <tabColor theme="4" tint="0.79998168889431442"/>
  </sheetPr>
  <dimension ref="A1:V100"/>
  <sheetViews>
    <sheetView zoomScale="73" zoomScaleNormal="100" workbookViewId="0">
      <pane xSplit="4" ySplit="7" topLeftCell="E8" activePane="bottomRight" state="frozen"/>
      <selection activeCell="E9" sqref="E9"/>
      <selection pane="topRight" activeCell="E9" sqref="E9"/>
      <selection pane="bottomLeft" activeCell="E9" sqref="E9"/>
      <selection pane="bottomRight" activeCell="G28" sqref="G28"/>
    </sheetView>
  </sheetViews>
  <sheetFormatPr defaultColWidth="9.109375" defaultRowHeight="14.4" x14ac:dyDescent="0.3"/>
  <cols>
    <col min="1" max="1" width="2.6640625" style="1" customWidth="1"/>
    <col min="2" max="4" width="12.6640625" style="1" customWidth="1"/>
    <col min="5" max="5" width="12.6640625" style="8" customWidth="1"/>
    <col min="6" max="25" width="12.6640625" style="1" customWidth="1"/>
    <col min="26" max="16384" width="9.109375" style="1"/>
  </cols>
  <sheetData>
    <row r="1" spans="1:22" ht="33.6" x14ac:dyDescent="0.65">
      <c r="B1" s="65" t="s">
        <v>130</v>
      </c>
    </row>
    <row r="2" spans="1:22" s="15" customFormat="1" ht="15" thickBot="1" x14ac:dyDescent="0.35">
      <c r="A2" s="13"/>
      <c r="B2" s="14" t="str">
        <f>UPPER(cover!E8&amp;" - "&amp;DAY(cover!E12)&amp;"/"&amp;MONTH(cover!E12)&amp;"/"&amp;YEAR(cover!E12))</f>
        <v>ARGENTEX GROUP PLC - 9/5/2023</v>
      </c>
      <c r="E2" s="13"/>
    </row>
    <row r="3" spans="1:22" ht="15" thickTop="1" x14ac:dyDescent="0.3">
      <c r="B3" s="25" t="str">
        <f>IF(checks!E10&lt;&gt;0,"**ERROR**","")</f>
        <v/>
      </c>
    </row>
    <row r="4" spans="1:22" s="3" customFormat="1" x14ac:dyDescent="0.3">
      <c r="A4" s="5"/>
      <c r="B4" s="2" t="s">
        <v>14</v>
      </c>
      <c r="D4" s="5" t="str">
        <f>cover!$E$10</f>
        <v>£m</v>
      </c>
      <c r="E4" s="4"/>
    </row>
    <row r="6" spans="1:22" x14ac:dyDescent="0.3">
      <c r="B6" s="1" t="s">
        <v>15</v>
      </c>
      <c r="D6" s="16"/>
      <c r="E6" s="16">
        <v>42825</v>
      </c>
      <c r="F6" s="16">
        <v>43190</v>
      </c>
      <c r="G6" s="16">
        <v>43555</v>
      </c>
      <c r="H6" s="16">
        <v>43738</v>
      </c>
      <c r="I6" s="16">
        <v>43921</v>
      </c>
      <c r="J6" s="16">
        <v>44104</v>
      </c>
      <c r="K6" s="16">
        <v>44286</v>
      </c>
      <c r="L6" s="16">
        <v>44469</v>
      </c>
      <c r="M6" s="16">
        <v>44651</v>
      </c>
      <c r="N6" s="16">
        <v>44834</v>
      </c>
      <c r="O6" s="16">
        <v>44926</v>
      </c>
      <c r="P6" s="16">
        <f>EOMONTH(O6,12)</f>
        <v>45291</v>
      </c>
      <c r="Q6" s="16">
        <f t="shared" ref="Q6:T6" si="0">EOMONTH(P6,12)</f>
        <v>45657</v>
      </c>
      <c r="R6" s="16">
        <f t="shared" si="0"/>
        <v>46022</v>
      </c>
      <c r="S6" s="16">
        <f t="shared" si="0"/>
        <v>46387</v>
      </c>
      <c r="T6" s="16">
        <f t="shared" si="0"/>
        <v>46752</v>
      </c>
      <c r="U6" s="16">
        <f>EOMONTH(T6,12)</f>
        <v>47118</v>
      </c>
      <c r="V6" s="16">
        <f>EOMONTH(U6,12)</f>
        <v>47483</v>
      </c>
    </row>
    <row r="7" spans="1:22" x14ac:dyDescent="0.3">
      <c r="B7" s="1" t="s">
        <v>43</v>
      </c>
      <c r="E7" s="19">
        <f>15-MONTH(E6)</f>
        <v>12</v>
      </c>
      <c r="F7" s="19">
        <f t="shared" ref="F7:N7" si="1">15-MONTH(F6)</f>
        <v>12</v>
      </c>
      <c r="G7" s="19">
        <f t="shared" si="1"/>
        <v>12</v>
      </c>
      <c r="H7" s="19">
        <f t="shared" si="1"/>
        <v>6</v>
      </c>
      <c r="I7" s="19">
        <f t="shared" si="1"/>
        <v>12</v>
      </c>
      <c r="J7" s="19">
        <f t="shared" si="1"/>
        <v>6</v>
      </c>
      <c r="K7" s="19">
        <f t="shared" si="1"/>
        <v>12</v>
      </c>
      <c r="L7" s="19">
        <f t="shared" si="1"/>
        <v>6</v>
      </c>
      <c r="M7" s="19">
        <f t="shared" si="1"/>
        <v>12</v>
      </c>
      <c r="N7" s="19">
        <f t="shared" si="1"/>
        <v>6</v>
      </c>
      <c r="O7" s="19">
        <v>9</v>
      </c>
      <c r="P7" s="19">
        <f>MONTH(P6)</f>
        <v>12</v>
      </c>
      <c r="Q7" s="19">
        <f t="shared" ref="Q7:V7" si="2">MONTH(Q6)</f>
        <v>12</v>
      </c>
      <c r="R7" s="19">
        <f t="shared" si="2"/>
        <v>12</v>
      </c>
      <c r="S7" s="19">
        <f t="shared" si="2"/>
        <v>12</v>
      </c>
      <c r="T7" s="19">
        <f t="shared" si="2"/>
        <v>12</v>
      </c>
      <c r="U7" s="19">
        <f t="shared" si="2"/>
        <v>12</v>
      </c>
      <c r="V7" s="19">
        <f t="shared" si="2"/>
        <v>12</v>
      </c>
    </row>
    <row r="10" spans="1:22" x14ac:dyDescent="0.3">
      <c r="B10" s="2" t="s">
        <v>31</v>
      </c>
      <c r="C10" s="3"/>
      <c r="D10" s="3"/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2" spans="1:22" x14ac:dyDescent="0.3">
      <c r="B12" s="1" t="s">
        <v>202</v>
      </c>
      <c r="E12" s="56">
        <f>INDEX(bs!$B$4:$CO$68,MATCH($B12,bs!$A$4:$A$68,0),MATCH(E$6,bs!$B$3:$CO$3,0))</f>
        <v>14.5</v>
      </c>
      <c r="F12" s="56">
        <f>INDEX(bs!$B$4:$CO$68,MATCH($B12,bs!$A$4:$A$68,0),MATCH(F$6,bs!$B$3:$CO$3,0))</f>
        <v>12.7</v>
      </c>
      <c r="G12" s="56">
        <f>INDEX(bs!$B$4:$CO$68,MATCH($B12,bs!$A$4:$A$68,0),MATCH(G$6,bs!$B$3:$CO$3,0))</f>
        <v>13.2</v>
      </c>
      <c r="H12" s="56">
        <f>INDEX(bs!$B$4:$CO$68,MATCH($B12,bs!$A$4:$A$68,0),MATCH(H$6,bs!$B$3:$CO$3,0))</f>
        <v>32.1</v>
      </c>
      <c r="I12" s="56">
        <f>INDEX(bs!$B$4:$CO$68,MATCH($B12,bs!$A$4:$A$68,0),MATCH(I$6,bs!$B$3:$CO$3,0))</f>
        <v>22.7</v>
      </c>
      <c r="J12" s="56">
        <f>INDEX(bs!$B$4:$CO$68,MATCH($B12,bs!$A$4:$A$68,0),MATCH(J$6,bs!$B$3:$CO$3,0))</f>
        <v>37.200000000000003</v>
      </c>
      <c r="K12" s="56">
        <f>INDEX(bs!$B$4:$CO$68,MATCH($B12,bs!$A$4:$A$68,0),MATCH(K$6,bs!$B$3:$CO$3,0))</f>
        <v>26.8</v>
      </c>
      <c r="L12" s="56">
        <f>INDEX(bs!$B$4:$CO$68,MATCH($B12,bs!$A$4:$A$68,0),MATCH(L$6,bs!$B$3:$CO$3,0))</f>
        <v>43.3</v>
      </c>
      <c r="M12" s="56">
        <f>INDEX(bs!$B$4:$CO$68,MATCH($B12,bs!$A$4:$A$68,0),MATCH(M$6,bs!$B$3:$CO$3,0))</f>
        <v>37.9</v>
      </c>
      <c r="N12" s="56">
        <f>INDEX(bs!$B$4:$CO$68,MATCH($B12,bs!$A$4:$A$68,0),MATCH(N$6,bs!$B$3:$CO$3,0))</f>
        <v>51.6</v>
      </c>
      <c r="O12" s="56">
        <f>INDEX(bs!$B$4:$CO$68,MATCH($B12,bs!$A$4:$A$68,0),MATCH(O$6,bs!$B$3:$CO$3,0))</f>
        <v>29</v>
      </c>
      <c r="P12" s="28">
        <f t="shared" ref="P12" si="3">P97</f>
        <v>50.149263431809842</v>
      </c>
      <c r="Q12" s="28">
        <f t="shared" ref="Q12:U12" si="4">Q97</f>
        <v>51.631790540584852</v>
      </c>
      <c r="R12" s="28">
        <f t="shared" si="4"/>
        <v>53.317145350844612</v>
      </c>
      <c r="S12" s="28">
        <f t="shared" si="4"/>
        <v>55.18329391115185</v>
      </c>
      <c r="T12" s="28">
        <f t="shared" si="4"/>
        <v>57.215144406625321</v>
      </c>
      <c r="U12" s="28">
        <f t="shared" si="4"/>
        <v>59.402883307235598</v>
      </c>
      <c r="V12" s="28">
        <f t="shared" ref="V12" si="5">V97</f>
        <v>61.740731063148743</v>
      </c>
    </row>
    <row r="13" spans="1:22" x14ac:dyDescent="0.3">
      <c r="B13" s="1" t="s">
        <v>16</v>
      </c>
      <c r="E13" s="56">
        <f>E16-E12-E14-E15</f>
        <v>9.3999999999999986</v>
      </c>
      <c r="F13" s="56">
        <f t="shared" ref="F13:H13" si="6">F16-F12-F14-F15</f>
        <v>14.900000000000002</v>
      </c>
      <c r="G13" s="56">
        <f t="shared" si="6"/>
        <v>10.600000000000001</v>
      </c>
      <c r="H13" s="56">
        <f t="shared" si="6"/>
        <v>12</v>
      </c>
      <c r="I13" s="56">
        <f t="shared" ref="I13:J13" si="7">I16-I12-I14-I15</f>
        <v>61.3</v>
      </c>
      <c r="J13" s="56">
        <f t="shared" si="7"/>
        <v>16.199999999999996</v>
      </c>
      <c r="K13" s="56">
        <f t="shared" ref="K13:O13" si="8">K16-K12-K14-K15</f>
        <v>50.900000000000006</v>
      </c>
      <c r="L13" s="56">
        <f t="shared" si="8"/>
        <v>22.200000000000003</v>
      </c>
      <c r="M13" s="56">
        <f t="shared" si="8"/>
        <v>45.800000000000004</v>
      </c>
      <c r="N13" s="56">
        <f t="shared" si="8"/>
        <v>141.30000000000001</v>
      </c>
      <c r="O13" s="56">
        <f t="shared" si="8"/>
        <v>68.7</v>
      </c>
      <c r="P13" s="28">
        <f>P50*summary!P31/365</f>
        <v>70.005665965747909</v>
      </c>
      <c r="Q13" s="28">
        <f>Q50*summary!Q31/365</f>
        <v>73.505949264035308</v>
      </c>
      <c r="R13" s="28">
        <f>R50*summary!R31/365</f>
        <v>77.181246727237081</v>
      </c>
      <c r="S13" s="28">
        <f>S50*summary!S31/365</f>
        <v>81.04030906359894</v>
      </c>
      <c r="T13" s="28">
        <f>T50*summary!T31/365</f>
        <v>85.092324516778874</v>
      </c>
      <c r="U13" s="28">
        <f>U50*summary!U31/365</f>
        <v>89.346940742617832</v>
      </c>
      <c r="V13" s="28">
        <f>V50*summary!V31/365</f>
        <v>93.814287779748739</v>
      </c>
    </row>
    <row r="14" spans="1:22" x14ac:dyDescent="0.3">
      <c r="B14" s="1" t="s">
        <v>201</v>
      </c>
      <c r="E14" s="56">
        <f>INDEX(bs!$B$4:$CO$68,MATCH($B14,bs!$A$4:$A$68,0),MATCH(E$6,bs!$B$3:$CO$3,0))</f>
        <v>0</v>
      </c>
      <c r="F14" s="56">
        <f>INDEX(bs!$B$4:$CO$68,MATCH($B14,bs!$A$4:$A$68,0),MATCH(F$6,bs!$B$3:$CO$3,0))</f>
        <v>0</v>
      </c>
      <c r="G14" s="56">
        <f>INDEX(bs!$B$4:$CO$68,MATCH($B14,bs!$A$4:$A$68,0),MATCH(G$6,bs!$B$3:$CO$3,0))</f>
        <v>0</v>
      </c>
      <c r="H14" s="56">
        <f>INDEX(bs!$B$4:$CO$68,MATCH($B14,bs!$A$4:$A$68,0),MATCH(H$6,bs!$B$3:$CO$3,0))</f>
        <v>0</v>
      </c>
      <c r="I14" s="56">
        <f>INDEX(bs!$B$4:$CO$68,MATCH($B14,bs!$A$4:$A$68,0),MATCH(I$6,bs!$B$3:$CO$3,0))</f>
        <v>0</v>
      </c>
      <c r="J14" s="56">
        <f>INDEX(bs!$B$4:$CO$68,MATCH($B14,bs!$A$4:$A$68,0),MATCH(J$6,bs!$B$3:$CO$3,0))</f>
        <v>0</v>
      </c>
      <c r="K14" s="56">
        <f>INDEX(bs!$B$4:$CO$68,MATCH($B14,bs!$A$4:$A$68,0),MATCH(K$6,bs!$B$3:$CO$3,0))</f>
        <v>0</v>
      </c>
      <c r="L14" s="56">
        <f>INDEX(bs!$B$4:$CO$68,MATCH($B14,bs!$A$4:$A$68,0),MATCH(L$6,bs!$B$3:$CO$3,0))</f>
        <v>0</v>
      </c>
      <c r="M14" s="56">
        <f>INDEX(bs!$B$4:$CO$68,MATCH($B14,bs!$A$4:$A$68,0),MATCH(M$6,bs!$B$3:$CO$3,0))</f>
        <v>0</v>
      </c>
      <c r="N14" s="56">
        <f>INDEX(bs!$B$4:$CO$68,MATCH($B14,bs!$A$4:$A$68,0),MATCH(N$6,bs!$B$3:$CO$3,0))</f>
        <v>0</v>
      </c>
      <c r="O14" s="56">
        <f>INDEX(bs!$B$4:$CO$68,MATCH($B14,bs!$A$4:$A$68,0),MATCH(O$6,bs!$B$3:$CO$3,0))</f>
        <v>0</v>
      </c>
      <c r="P14" s="28">
        <f t="shared" ref="P14:Q14" si="9">O14</f>
        <v>0</v>
      </c>
      <c r="Q14" s="28">
        <f t="shared" si="9"/>
        <v>0</v>
      </c>
      <c r="R14" s="28">
        <f t="shared" ref="R14" si="10">Q14</f>
        <v>0</v>
      </c>
      <c r="S14" s="28">
        <f t="shared" ref="S14" si="11">R14</f>
        <v>0</v>
      </c>
      <c r="T14" s="28">
        <f t="shared" ref="T14" si="12">S14</f>
        <v>0</v>
      </c>
      <c r="U14" s="28">
        <f t="shared" ref="U14:V14" si="13">T14</f>
        <v>0</v>
      </c>
      <c r="V14" s="28">
        <f t="shared" si="13"/>
        <v>0</v>
      </c>
    </row>
    <row r="15" spans="1:22" x14ac:dyDescent="0.3"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28"/>
      <c r="Q15" s="28"/>
      <c r="R15" s="28"/>
      <c r="S15" s="28"/>
      <c r="T15" s="28"/>
      <c r="U15" s="28"/>
      <c r="V15" s="28"/>
    </row>
    <row r="16" spans="1:22" ht="15" thickBot="1" x14ac:dyDescent="0.35">
      <c r="B16" s="17" t="s">
        <v>204</v>
      </c>
      <c r="C16" s="17"/>
      <c r="D16" s="17"/>
      <c r="E16" s="78">
        <f>INDEX(bs!$B$4:$CO$68,MATCH($B16,bs!$A$4:$A$68,0),MATCH(E$6,bs!$B$3:$CO$3,0))</f>
        <v>23.9</v>
      </c>
      <c r="F16" s="78">
        <f>INDEX(bs!$B$4:$CO$68,MATCH($B16,bs!$A$4:$A$68,0),MATCH(F$6,bs!$B$3:$CO$3,0))</f>
        <v>27.6</v>
      </c>
      <c r="G16" s="78">
        <f>INDEX(bs!$B$4:$CO$68,MATCH($B16,bs!$A$4:$A$68,0),MATCH(G$6,bs!$B$3:$CO$3,0))</f>
        <v>23.8</v>
      </c>
      <c r="H16" s="78">
        <f>INDEX(bs!$B$4:$CO$68,MATCH($B16,bs!$A$4:$A$68,0),MATCH(H$6,bs!$B$3:$CO$3,0))</f>
        <v>44.1</v>
      </c>
      <c r="I16" s="78">
        <f>INDEX(bs!$B$4:$CO$68,MATCH($B16,bs!$A$4:$A$68,0),MATCH(I$6,bs!$B$3:$CO$3,0))</f>
        <v>84</v>
      </c>
      <c r="J16" s="78">
        <f>INDEX(bs!$B$4:$CO$68,MATCH($B16,bs!$A$4:$A$68,0),MATCH(J$6,bs!$B$3:$CO$3,0))</f>
        <v>53.4</v>
      </c>
      <c r="K16" s="78">
        <f>INDEX(bs!$B$4:$CO$68,MATCH($B16,bs!$A$4:$A$68,0),MATCH(K$6,bs!$B$3:$CO$3,0))</f>
        <v>77.7</v>
      </c>
      <c r="L16" s="78">
        <f>INDEX(bs!$B$4:$CO$68,MATCH($B16,bs!$A$4:$A$68,0),MATCH(L$6,bs!$B$3:$CO$3,0))</f>
        <v>65.5</v>
      </c>
      <c r="M16" s="78">
        <f>INDEX(bs!$B$4:$CO$68,MATCH($B16,bs!$A$4:$A$68,0),MATCH(M$6,bs!$B$3:$CO$3,0))</f>
        <v>83.7</v>
      </c>
      <c r="N16" s="78">
        <f>INDEX(bs!$B$4:$CO$68,MATCH($B16,bs!$A$4:$A$68,0),MATCH(N$6,bs!$B$3:$CO$3,0))</f>
        <v>192.9</v>
      </c>
      <c r="O16" s="78">
        <f>INDEX(bs!$B$4:$CO$68,MATCH($B16,bs!$A$4:$A$68,0),MATCH(O$6,bs!$B$3:$CO$3,0))</f>
        <v>97.7</v>
      </c>
      <c r="P16" s="79">
        <f t="shared" ref="P16" si="14">SUM(P12:P15)</f>
        <v>120.15492939755775</v>
      </c>
      <c r="Q16" s="79">
        <f t="shared" ref="Q16:U16" si="15">SUM(Q12:Q15)</f>
        <v>125.13773980462017</v>
      </c>
      <c r="R16" s="79">
        <f t="shared" si="15"/>
        <v>130.49839207808168</v>
      </c>
      <c r="S16" s="79">
        <f t="shared" si="15"/>
        <v>136.2236029747508</v>
      </c>
      <c r="T16" s="79">
        <f t="shared" si="15"/>
        <v>142.3074689234042</v>
      </c>
      <c r="U16" s="79">
        <f t="shared" si="15"/>
        <v>148.74982404985343</v>
      </c>
      <c r="V16" s="79">
        <f t="shared" ref="V16" si="16">SUM(V12:V15)</f>
        <v>155.55501884289748</v>
      </c>
    </row>
    <row r="17" spans="2:22" ht="15" thickTop="1" x14ac:dyDescent="0.3">
      <c r="B17" s="1" t="s">
        <v>205</v>
      </c>
      <c r="E17" s="56">
        <f>INDEX(bs!$B$4:$CO$68,MATCH($B17,bs!$A$4:$A$68,0),MATCH(E$6,bs!$B$3:$CO$3,0))</f>
        <v>0</v>
      </c>
      <c r="F17" s="56">
        <f>INDEX(bs!$B$4:$CO$68,MATCH($B17,bs!$A$4:$A$68,0),MATCH(F$6,bs!$B$3:$CO$3,0))</f>
        <v>0</v>
      </c>
      <c r="G17" s="56">
        <f>INDEX(bs!$B$4:$CO$68,MATCH($B17,bs!$A$4:$A$68,0),MATCH(G$6,bs!$B$3:$CO$3,0))</f>
        <v>0</v>
      </c>
      <c r="H17" s="95">
        <v>0</v>
      </c>
      <c r="I17" s="56">
        <f>INDEX(bs!$B$4:$CO$68,MATCH($B17,bs!$A$4:$A$68,0),MATCH(I$6,bs!$B$3:$CO$3,0))</f>
        <v>0</v>
      </c>
      <c r="J17" s="56">
        <f>INDEX(bs!$B$4:$CO$68,MATCH($B17,bs!$A$4:$A$68,0),MATCH(J$6,bs!$B$3:$CO$3,0))</f>
        <v>0</v>
      </c>
      <c r="K17" s="56">
        <f>INDEX(bs!$B$4:$CO$68,MATCH($B17,bs!$A$4:$A$68,0),MATCH(K$6,bs!$B$3:$CO$3,0))</f>
        <v>0</v>
      </c>
      <c r="L17" s="56">
        <f>INDEX(bs!$B$4:$CO$68,MATCH($B17,bs!$A$4:$A$68,0),MATCH(L$6,bs!$B$3:$CO$3,0))</f>
        <v>0</v>
      </c>
      <c r="M17" s="56">
        <f>INDEX(bs!$B$4:$CO$68,MATCH($B17,bs!$A$4:$A$68,0),MATCH(M$6,bs!$B$3:$CO$3,0))</f>
        <v>0</v>
      </c>
      <c r="N17" s="56">
        <f>INDEX(bs!$B$4:$CO$68,MATCH($B17,bs!$A$4:$A$68,0),MATCH(N$6,bs!$B$3:$CO$3,0))</f>
        <v>0</v>
      </c>
      <c r="O17" s="56">
        <f>INDEX(bs!$B$4:$CO$68,MATCH($B17,bs!$A$4:$A$68,0),MATCH(O$6,bs!$B$3:$CO$3,0))</f>
        <v>0</v>
      </c>
      <c r="P17" s="28">
        <f t="shared" ref="P17:Q18" si="17">O17</f>
        <v>0</v>
      </c>
      <c r="Q17" s="28">
        <f t="shared" si="17"/>
        <v>0</v>
      </c>
      <c r="R17" s="28">
        <f t="shared" ref="R17:R18" si="18">Q17</f>
        <v>0</v>
      </c>
      <c r="S17" s="28">
        <f t="shared" ref="S17:S18" si="19">R17</f>
        <v>0</v>
      </c>
      <c r="T17" s="28">
        <f t="shared" ref="T17:T18" si="20">S17</f>
        <v>0</v>
      </c>
      <c r="U17" s="28">
        <f t="shared" ref="U17:V18" si="21">T17</f>
        <v>0</v>
      </c>
      <c r="V17" s="28">
        <f t="shared" si="21"/>
        <v>0</v>
      </c>
    </row>
    <row r="18" spans="2:22" x14ac:dyDescent="0.3">
      <c r="B18" s="1" t="s">
        <v>206</v>
      </c>
      <c r="E18" s="56">
        <f>INDEX(bs!$B$4:$CO$68,MATCH($B18,bs!$A$4:$A$68,0),MATCH(E$6,bs!$B$3:$CO$3,0))</f>
        <v>0.6</v>
      </c>
      <c r="F18" s="56">
        <f>INDEX(bs!$B$4:$CO$68,MATCH($B18,bs!$A$4:$A$68,0),MATCH(F$6,bs!$B$3:$CO$3,0))</f>
        <v>1.1000000000000001</v>
      </c>
      <c r="G18" s="56">
        <f>INDEX(bs!$B$4:$CO$68,MATCH($B18,bs!$A$4:$A$68,0),MATCH(G$6,bs!$B$3:$CO$3,0))</f>
        <v>1.8</v>
      </c>
      <c r="H18" s="56">
        <f>INDEX(bs!$B$4:$CO$68,MATCH($B18,bs!$A$4:$A$68,0),MATCH(H$6,bs!$B$3:$CO$3,0))</f>
        <v>1.8</v>
      </c>
      <c r="I18" s="56">
        <f>INDEX(bs!$B$4:$CO$68,MATCH($B18,bs!$A$4:$A$68,0),MATCH(I$6,bs!$B$3:$CO$3,0))</f>
        <v>1.8</v>
      </c>
      <c r="J18" s="56">
        <f>INDEX(bs!$B$4:$CO$68,MATCH($B18,bs!$A$4:$A$68,0),MATCH(J$6,bs!$B$3:$CO$3,0))</f>
        <v>1.8</v>
      </c>
      <c r="K18" s="56">
        <f>INDEX(bs!$B$4:$CO$68,MATCH($B18,bs!$A$4:$A$68,0),MATCH(K$6,bs!$B$3:$CO$3,0))</f>
        <v>1.7</v>
      </c>
      <c r="L18" s="56">
        <f>INDEX(bs!$B$4:$CO$68,MATCH($B18,bs!$A$4:$A$68,0),MATCH(L$6,bs!$B$3:$CO$3,0))</f>
        <v>1.8</v>
      </c>
      <c r="M18" s="56">
        <f>INDEX(bs!$B$4:$CO$68,MATCH($B18,bs!$A$4:$A$68,0),MATCH(M$6,bs!$B$3:$CO$3,0))</f>
        <v>2.2000000000000002</v>
      </c>
      <c r="N18" s="56">
        <f>INDEX(bs!$B$4:$CO$68,MATCH($B18,bs!$A$4:$A$68,0),MATCH(N$6,bs!$B$3:$CO$3,0))</f>
        <v>2.4</v>
      </c>
      <c r="O18" s="56">
        <f>INDEX(bs!$B$4:$CO$68,MATCH($B18,bs!$A$4:$A$68,0),MATCH(O$6,bs!$B$3:$CO$3,0))</f>
        <v>2.5</v>
      </c>
      <c r="P18" s="28">
        <f t="shared" si="17"/>
        <v>2.5</v>
      </c>
      <c r="Q18" s="28">
        <f t="shared" si="17"/>
        <v>2.5</v>
      </c>
      <c r="R18" s="28">
        <f t="shared" si="18"/>
        <v>2.5</v>
      </c>
      <c r="S18" s="28">
        <f t="shared" si="19"/>
        <v>2.5</v>
      </c>
      <c r="T18" s="28">
        <f t="shared" si="20"/>
        <v>2.5</v>
      </c>
      <c r="U18" s="28">
        <f t="shared" si="21"/>
        <v>2.5</v>
      </c>
      <c r="V18" s="28">
        <f t="shared" si="21"/>
        <v>2.5</v>
      </c>
    </row>
    <row r="19" spans="2:22" x14ac:dyDescent="0.3">
      <c r="B19" s="1" t="s">
        <v>208</v>
      </c>
      <c r="E19" s="56">
        <f>INDEX(bs!$B$4:$CO$68,MATCH($B19,bs!$A$4:$A$68,0),MATCH(E$6,bs!$B$3:$CO$3,0))</f>
        <v>1.2</v>
      </c>
      <c r="F19" s="56">
        <f>INDEX(bs!$B$4:$CO$68,MATCH($B19,bs!$A$4:$A$68,0),MATCH(F$6,bs!$B$3:$CO$3,0))</f>
        <v>0.8</v>
      </c>
      <c r="G19" s="56">
        <f>INDEX(bs!$B$4:$CO$68,MATCH($B19,bs!$A$4:$A$68,0),MATCH(G$6,bs!$B$3:$CO$3,0))</f>
        <v>0.5</v>
      </c>
      <c r="H19" s="56">
        <f>INDEX(bs!$B$4:$CO$68,MATCH($B19,bs!$A$4:$A$68,0),MATCH(H$6,bs!$B$3:$CO$3,0))</f>
        <v>0.3</v>
      </c>
      <c r="I19" s="56">
        <f>INDEX(bs!$B$4:$CO$68,MATCH($B19,bs!$A$4:$A$68,0),MATCH(I$6,bs!$B$3:$CO$3,0))</f>
        <v>0.2</v>
      </c>
      <c r="J19" s="56">
        <f>INDEX(bs!$B$4:$CO$68,MATCH($B19,bs!$A$4:$A$68,0),MATCH(J$6,bs!$B$3:$CO$3,0))</f>
        <v>9.4</v>
      </c>
      <c r="K19" s="56">
        <f>INDEX(bs!$B$4:$CO$68,MATCH($B19,bs!$A$4:$A$68,0),MATCH(K$6,bs!$B$3:$CO$3,0))</f>
        <v>9.1</v>
      </c>
      <c r="L19" s="56">
        <f>INDEX(bs!$B$4:$CO$68,MATCH($B19,bs!$A$4:$A$68,0),MATCH(L$6,bs!$B$3:$CO$3,0))</f>
        <v>8.6999999999999993</v>
      </c>
      <c r="M19" s="56">
        <f>INDEX(bs!$B$4:$CO$68,MATCH($B19,bs!$A$4:$A$68,0),MATCH(M$6,bs!$B$3:$CO$3,0))</f>
        <v>8.3000000000000007</v>
      </c>
      <c r="N19" s="56">
        <f>INDEX(bs!$B$4:$CO$68,MATCH($B19,bs!$A$4:$A$68,0),MATCH(N$6,bs!$B$3:$CO$3,0))</f>
        <v>7.7</v>
      </c>
      <c r="O19" s="56">
        <f>INDEX(bs!$B$4:$CO$68,MATCH($B19,bs!$A$4:$A$68,0),MATCH(O$6,bs!$B$3:$CO$3,0))</f>
        <v>7.9</v>
      </c>
      <c r="P19" s="28">
        <f t="shared" ref="P19:Q19" si="22">O19+P56-P79</f>
        <v>9.2275378575434672</v>
      </c>
      <c r="Q19" s="28">
        <f t="shared" si="22"/>
        <v>10.419568143578241</v>
      </c>
      <c r="R19" s="28">
        <f t="shared" ref="R19" si="23">Q19+R56-R79</f>
        <v>11.519786595625353</v>
      </c>
      <c r="S19" s="28">
        <f t="shared" ref="S19" si="24">R19+S56-S79</f>
        <v>12.561455959057771</v>
      </c>
      <c r="T19" s="28">
        <f t="shared" ref="T19" si="25">S19+T56-T79</f>
        <v>13.570038782249023</v>
      </c>
      <c r="U19" s="28">
        <f t="shared" ref="U19:V19" si="26">T19+U56-U79</f>
        <v>14.565173240290246</v>
      </c>
      <c r="V19" s="28">
        <f t="shared" si="26"/>
        <v>15.562156291501339</v>
      </c>
    </row>
    <row r="20" spans="2:22" x14ac:dyDescent="0.3">
      <c r="B20" s="1" t="s">
        <v>209</v>
      </c>
      <c r="E20" s="56">
        <f>INDEX(bs!$B$4:$CO$68,MATCH($B20,bs!$A$4:$A$68,0),MATCH(E$6,bs!$B$3:$CO$3,0))</f>
        <v>0</v>
      </c>
      <c r="F20" s="56">
        <f>INDEX(bs!$B$4:$CO$68,MATCH($B20,bs!$A$4:$A$68,0),MATCH(F$6,bs!$B$3:$CO$3,0))</f>
        <v>0</v>
      </c>
      <c r="G20" s="56">
        <f>INDEX(bs!$B$4:$CO$68,MATCH($B20,bs!$A$4:$A$68,0),MATCH(G$6,bs!$B$3:$CO$3,0))</f>
        <v>0</v>
      </c>
      <c r="H20" s="56">
        <f>INDEX(bs!$B$4:$CO$68,MATCH($B20,bs!$A$4:$A$68,0),MATCH(H$6,bs!$B$3:$CO$3,0))</f>
        <v>0</v>
      </c>
      <c r="I20" s="56">
        <f>INDEX(bs!$B$4:$CO$68,MATCH($B20,bs!$A$4:$A$68,0),MATCH(I$6,bs!$B$3:$CO$3,0))</f>
        <v>0</v>
      </c>
      <c r="J20" s="56">
        <f>INDEX(bs!$B$4:$CO$68,MATCH($B20,bs!$A$4:$A$68,0),MATCH(J$6,bs!$B$3:$CO$3,0))</f>
        <v>0</v>
      </c>
      <c r="K20" s="56">
        <f>INDEX(bs!$B$4:$CO$68,MATCH($B20,bs!$A$4:$A$68,0),MATCH(K$6,bs!$B$3:$CO$3,0))</f>
        <v>0</v>
      </c>
      <c r="L20" s="56">
        <f>INDEX(bs!$B$4:$CO$68,MATCH($B20,bs!$A$4:$A$68,0),MATCH(L$6,bs!$B$3:$CO$3,0))</f>
        <v>0</v>
      </c>
      <c r="M20" s="56">
        <f>INDEX(bs!$B$4:$CO$68,MATCH($B20,bs!$A$4:$A$68,0),MATCH(M$6,bs!$B$3:$CO$3,0))</f>
        <v>0</v>
      </c>
      <c r="N20" s="56">
        <f>INDEX(bs!$B$4:$CO$68,MATCH($B20,bs!$A$4:$A$68,0),MATCH(N$6,bs!$B$3:$CO$3,0))</f>
        <v>0</v>
      </c>
      <c r="O20" s="56">
        <f>INDEX(bs!$B$4:$CO$68,MATCH($B20,bs!$A$4:$A$68,0),MATCH(O$6,bs!$B$3:$CO$3,0))</f>
        <v>0</v>
      </c>
      <c r="P20" s="28">
        <f t="shared" ref="P20:Q21" si="27">O20</f>
        <v>0</v>
      </c>
      <c r="Q20" s="28">
        <f t="shared" si="27"/>
        <v>0</v>
      </c>
      <c r="R20" s="28">
        <f t="shared" ref="R20:R21" si="28">Q20</f>
        <v>0</v>
      </c>
      <c r="S20" s="28">
        <f t="shared" ref="S20:S21" si="29">R20</f>
        <v>0</v>
      </c>
      <c r="T20" s="28">
        <f t="shared" ref="T20:T21" si="30">S20</f>
        <v>0</v>
      </c>
      <c r="U20" s="28">
        <f t="shared" ref="U20:V21" si="31">T20</f>
        <v>0</v>
      </c>
      <c r="V20" s="28">
        <f t="shared" si="31"/>
        <v>0</v>
      </c>
    </row>
    <row r="21" spans="2:22" x14ac:dyDescent="0.3">
      <c r="B21" s="1" t="s">
        <v>210</v>
      </c>
      <c r="E21" s="56">
        <f>MAX(0,INDEX(bs!$B$4:$CO$68,MATCH($B21,bs!$A$4:$A$68,0),MATCH(E$6,bs!$B$3:$CO$3,0)))</f>
        <v>1.3</v>
      </c>
      <c r="F21" s="56">
        <f>MAX(0,INDEX(bs!$B$4:$CO$68,MATCH($B21,bs!$A$4:$A$68,0),MATCH(F$6,bs!$B$3:$CO$3,0)))</f>
        <v>0.5</v>
      </c>
      <c r="G21" s="56">
        <f>MAX(0,INDEX(bs!$B$4:$CO$68,MATCH($B21,bs!$A$4:$A$68,0),MATCH(G$6,bs!$B$3:$CO$3,0)))</f>
        <v>2.2000000000000002</v>
      </c>
      <c r="H21" s="56">
        <f>MAX(0,INDEX(bs!$B$4:$CO$68,MATCH($B21,bs!$A$4:$A$68,0),MATCH(H$6,bs!$B$3:$CO$3,0)))</f>
        <v>5.6</v>
      </c>
      <c r="I21" s="56">
        <f>MAX(0,INDEX(bs!$B$4:$CO$68,MATCH($B21,bs!$A$4:$A$68,0),MATCH(I$6,bs!$B$3:$CO$3,0)))</f>
        <v>8.1999999999999993</v>
      </c>
      <c r="J21" s="56">
        <f>MAX(0,INDEX(bs!$B$4:$CO$68,MATCH($B21,bs!$A$4:$A$68,0),MATCH(J$6,bs!$B$3:$CO$3,0)))</f>
        <v>2.2999999999999998</v>
      </c>
      <c r="K21" s="56">
        <f>MAX(0,INDEX(bs!$B$4:$CO$68,MATCH($B21,bs!$A$4:$A$68,0),MATCH(K$6,bs!$B$3:$CO$3,0)))</f>
        <v>3.8</v>
      </c>
      <c r="L21" s="56">
        <f>MAX(0,INDEX(bs!$B$4:$CO$68,MATCH($B21,bs!$A$4:$A$68,0),MATCH(L$6,bs!$B$3:$CO$3,0)))</f>
        <v>2.4</v>
      </c>
      <c r="M21" s="56">
        <f>MAX(0,INDEX(bs!$B$4:$CO$68,MATCH($B21,bs!$A$4:$A$68,0),MATCH(M$6,bs!$B$3:$CO$3,0)))</f>
        <v>3.1</v>
      </c>
      <c r="N21" s="56">
        <f>MAX(0,INDEX(bs!$B$4:$CO$68,MATCH($B21,bs!$A$4:$A$68,0),MATCH(N$6,bs!$B$3:$CO$3,0)))</f>
        <v>14.1</v>
      </c>
      <c r="O21" s="56">
        <f>MAX(0,INDEX(bs!$B$4:$CO$68,MATCH($B21,bs!$A$4:$A$68,0),MATCH(O$6,bs!$B$3:$CO$3,0)))</f>
        <v>9.3000000000000007</v>
      </c>
      <c r="P21" s="28">
        <f t="shared" si="27"/>
        <v>9.3000000000000007</v>
      </c>
      <c r="Q21" s="28">
        <f t="shared" si="27"/>
        <v>9.3000000000000007</v>
      </c>
      <c r="R21" s="28">
        <f t="shared" si="28"/>
        <v>9.3000000000000007</v>
      </c>
      <c r="S21" s="28">
        <f t="shared" si="29"/>
        <v>9.3000000000000007</v>
      </c>
      <c r="T21" s="28">
        <f t="shared" si="30"/>
        <v>9.3000000000000007</v>
      </c>
      <c r="U21" s="28">
        <f t="shared" si="31"/>
        <v>9.3000000000000007</v>
      </c>
      <c r="V21" s="28">
        <f t="shared" si="31"/>
        <v>9.3000000000000007</v>
      </c>
    </row>
    <row r="22" spans="2:22" ht="15" thickBot="1" x14ac:dyDescent="0.35">
      <c r="B22" s="17" t="s">
        <v>17</v>
      </c>
      <c r="C22" s="17"/>
      <c r="D22" s="17"/>
      <c r="E22" s="78">
        <f t="shared" ref="E22:H22" si="32">SUM(E16:E21)</f>
        <v>27</v>
      </c>
      <c r="F22" s="78">
        <f t="shared" si="32"/>
        <v>30.000000000000004</v>
      </c>
      <c r="G22" s="78">
        <f t="shared" si="32"/>
        <v>28.3</v>
      </c>
      <c r="H22" s="78">
        <f t="shared" si="32"/>
        <v>51.8</v>
      </c>
      <c r="I22" s="78">
        <f t="shared" ref="I22:J22" si="33">SUM(I16:I21)</f>
        <v>94.2</v>
      </c>
      <c r="J22" s="78">
        <f t="shared" si="33"/>
        <v>66.899999999999991</v>
      </c>
      <c r="K22" s="78">
        <f t="shared" ref="K22:P22" si="34">SUM(K16:K21)</f>
        <v>92.3</v>
      </c>
      <c r="L22" s="78">
        <f t="shared" si="34"/>
        <v>78.400000000000006</v>
      </c>
      <c r="M22" s="78">
        <f t="shared" si="34"/>
        <v>97.3</v>
      </c>
      <c r="N22" s="78">
        <f t="shared" si="34"/>
        <v>217.1</v>
      </c>
      <c r="O22" s="78">
        <f t="shared" si="34"/>
        <v>117.4</v>
      </c>
      <c r="P22" s="79">
        <f t="shared" si="34"/>
        <v>141.18246725510124</v>
      </c>
      <c r="Q22" s="79">
        <f t="shared" ref="Q22:U22" si="35">SUM(Q16:Q21)</f>
        <v>147.35730794819841</v>
      </c>
      <c r="R22" s="79">
        <f t="shared" si="35"/>
        <v>153.81817867370705</v>
      </c>
      <c r="S22" s="79">
        <f t="shared" si="35"/>
        <v>160.5850589338086</v>
      </c>
      <c r="T22" s="79">
        <f t="shared" si="35"/>
        <v>167.67750770565323</v>
      </c>
      <c r="U22" s="79">
        <f t="shared" si="35"/>
        <v>175.11499729014369</v>
      </c>
      <c r="V22" s="79">
        <f t="shared" ref="V22" si="36">SUM(V16:V21)</f>
        <v>182.91717513439883</v>
      </c>
    </row>
    <row r="23" spans="2:22" ht="15" thickTop="1" x14ac:dyDescent="0.3"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28"/>
      <c r="Q23" s="28"/>
      <c r="R23" s="28"/>
      <c r="S23" s="28"/>
      <c r="T23" s="28"/>
      <c r="U23" s="28"/>
      <c r="V23" s="28"/>
    </row>
    <row r="24" spans="2:22" x14ac:dyDescent="0.3">
      <c r="B24" s="1" t="s">
        <v>19</v>
      </c>
      <c r="E24" s="56">
        <f>E27-E25-E26</f>
        <v>18.7</v>
      </c>
      <c r="F24" s="56">
        <f t="shared" ref="F24:H24" si="37">F27-F25-F26</f>
        <v>21.299999999999997</v>
      </c>
      <c r="G24" s="56">
        <f t="shared" si="37"/>
        <v>16.8</v>
      </c>
      <c r="H24" s="56">
        <f t="shared" si="37"/>
        <v>19.099999999999998</v>
      </c>
      <c r="I24" s="56">
        <f t="shared" ref="I24:J24" si="38">I27-I25-I26</f>
        <v>64.400000000000006</v>
      </c>
      <c r="J24" s="56">
        <f t="shared" si="38"/>
        <v>26.300000000000004</v>
      </c>
      <c r="K24" s="56">
        <f t="shared" ref="K24:O24" si="39">K27-K25-K26</f>
        <v>52.6</v>
      </c>
      <c r="L24" s="56">
        <f t="shared" si="39"/>
        <v>34.900000000000006</v>
      </c>
      <c r="M24" s="56">
        <f t="shared" si="39"/>
        <v>52.8</v>
      </c>
      <c r="N24" s="56">
        <f t="shared" si="39"/>
        <v>160.5</v>
      </c>
      <c r="O24" s="56">
        <f t="shared" si="39"/>
        <v>65.7</v>
      </c>
      <c r="P24" s="28">
        <f>P50*summary!P32/365</f>
        <v>87.751467255101218</v>
      </c>
      <c r="Q24" s="28">
        <f>Q50*summary!Q32/365</f>
        <v>92.139040617856281</v>
      </c>
      <c r="R24" s="28">
        <f>R50*summary!R32/365</f>
        <v>96.745992648749109</v>
      </c>
      <c r="S24" s="28">
        <f>S50*summary!S32/365</f>
        <v>101.58329228118657</v>
      </c>
      <c r="T24" s="28">
        <f>T50*summary!T32/365</f>
        <v>106.6624568952459</v>
      </c>
      <c r="U24" s="28">
        <f>U50*summary!U32/365</f>
        <v>111.9955797400082</v>
      </c>
      <c r="V24" s="28">
        <f>V50*summary!V32/365</f>
        <v>117.5953587270086</v>
      </c>
    </row>
    <row r="25" spans="2:22" x14ac:dyDescent="0.3">
      <c r="B25" s="1" t="s">
        <v>40</v>
      </c>
      <c r="E25" s="56">
        <f>INDEX(bs!$B$4:$CO$68,MATCH($B25,bs!$A$4:$A$68,0),MATCH(E$6,bs!$B$3:$CO$3,0))</f>
        <v>0.1</v>
      </c>
      <c r="F25" s="56">
        <f>INDEX(bs!$B$4:$CO$68,MATCH($B25,bs!$A$4:$A$68,0),MATCH(F$6,bs!$B$3:$CO$3,0))</f>
        <v>0.1</v>
      </c>
      <c r="G25" s="56">
        <f>INDEX(bs!$B$4:$CO$68,MATCH($B25,bs!$A$4:$A$68,0),MATCH(G$6,bs!$B$3:$CO$3,0))</f>
        <v>0.2</v>
      </c>
      <c r="H25" s="56">
        <f>INDEX(bs!$B$4:$CO$68,MATCH($B25,bs!$A$4:$A$68,0),MATCH(H$6,bs!$B$3:$CO$3,0))</f>
        <v>1.1000000000000001</v>
      </c>
      <c r="I25" s="56">
        <f>INDEX(bs!$B$4:$CO$68,MATCH($B25,bs!$A$4:$A$68,0),MATCH(I$6,bs!$B$3:$CO$3,0))</f>
        <v>0</v>
      </c>
      <c r="J25" s="56">
        <f>INDEX(bs!$B$4:$CO$68,MATCH($B25,bs!$A$4:$A$68,0),MATCH(J$6,bs!$B$3:$CO$3,0))</f>
        <v>2.9</v>
      </c>
      <c r="K25" s="56">
        <f>INDEX(bs!$B$4:$CO$68,MATCH($B25,bs!$A$4:$A$68,0),MATCH(K$6,bs!$B$3:$CO$3,0))</f>
        <v>1.8</v>
      </c>
      <c r="L25" s="56">
        <f>INDEX(bs!$B$4:$CO$68,MATCH($B25,bs!$A$4:$A$68,0),MATCH(L$6,bs!$B$3:$CO$3,0))</f>
        <v>2.4</v>
      </c>
      <c r="M25" s="56">
        <f>INDEX(bs!$B$4:$CO$68,MATCH($B25,bs!$A$4:$A$68,0),MATCH(M$6,bs!$B$3:$CO$3,0))</f>
        <v>2.2000000000000002</v>
      </c>
      <c r="N25" s="56">
        <f>INDEX(bs!$B$4:$CO$68,MATCH($B25,bs!$A$4:$A$68,0),MATCH(N$6,bs!$B$3:$CO$3,0))</f>
        <v>2.6</v>
      </c>
      <c r="O25" s="56">
        <f>INDEX(bs!$B$4:$CO$68,MATCH($B25,bs!$A$4:$A$68,0),MATCH(O$6,bs!$B$3:$CO$3,0))</f>
        <v>1.4</v>
      </c>
      <c r="P25" s="28">
        <f t="shared" ref="P25:Q25" si="40">O25</f>
        <v>1.4</v>
      </c>
      <c r="Q25" s="28">
        <f t="shared" si="40"/>
        <v>1.4</v>
      </c>
      <c r="R25" s="28">
        <f t="shared" ref="R25" si="41">Q25</f>
        <v>1.4</v>
      </c>
      <c r="S25" s="28">
        <f t="shared" ref="S25" si="42">R25</f>
        <v>1.4</v>
      </c>
      <c r="T25" s="28">
        <f t="shared" ref="T25" si="43">S25</f>
        <v>1.4</v>
      </c>
      <c r="U25" s="28">
        <f t="shared" ref="U25:V25" si="44">T25</f>
        <v>1.4</v>
      </c>
      <c r="V25" s="28">
        <f t="shared" si="44"/>
        <v>1.4</v>
      </c>
    </row>
    <row r="26" spans="2:22" x14ac:dyDescent="0.3">
      <c r="B26" s="1" t="s">
        <v>213</v>
      </c>
      <c r="E26" s="56">
        <f>INDEX(bs!$B$4:$CO$68,MATCH($B26,bs!$A$4:$A$68,0),MATCH(E$6,bs!$B$3:$CO$3,0))</f>
        <v>0.3</v>
      </c>
      <c r="F26" s="56">
        <f>INDEX(bs!$B$4:$CO$68,MATCH($B26,bs!$A$4:$A$68,0),MATCH(F$6,bs!$B$3:$CO$3,0))</f>
        <v>0.3</v>
      </c>
      <c r="G26" s="56">
        <f>INDEX(bs!$B$4:$CO$68,MATCH($B26,bs!$A$4:$A$68,0),MATCH(G$6,bs!$B$3:$CO$3,0))</f>
        <v>7.7</v>
      </c>
      <c r="H26" s="56">
        <f>INDEX(bs!$B$4:$CO$68,MATCH($B26,bs!$A$4:$A$68,0),MATCH(H$6,bs!$B$3:$CO$3,0))</f>
        <v>7.7</v>
      </c>
      <c r="I26" s="56">
        <f>INDEX(bs!$B$4:$CO$68,MATCH($B26,bs!$A$4:$A$68,0),MATCH(I$6,bs!$B$3:$CO$3,0))</f>
        <v>0</v>
      </c>
      <c r="J26" s="56">
        <f>INDEX(bs!$B$4:$CO$68,MATCH($B26,bs!$A$4:$A$68,0),MATCH(J$6,bs!$B$3:$CO$3,0))</f>
        <v>5.4</v>
      </c>
      <c r="K26" s="56">
        <f>INDEX(bs!$B$4:$CO$68,MATCH($B26,bs!$A$4:$A$68,0),MATCH(K$6,bs!$B$3:$CO$3,0))</f>
        <v>1.2</v>
      </c>
      <c r="L26" s="56">
        <f>INDEX(bs!$B$4:$CO$68,MATCH($B26,bs!$A$4:$A$68,0),MATCH(L$6,bs!$B$3:$CO$3,0))</f>
        <v>4.8</v>
      </c>
      <c r="M26" s="56">
        <f>INDEX(bs!$B$4:$CO$68,MATCH($B26,bs!$A$4:$A$68,0),MATCH(M$6,bs!$B$3:$CO$3,0))</f>
        <v>0.8</v>
      </c>
      <c r="N26" s="56">
        <f>INDEX(bs!$B$4:$CO$68,MATCH($B26,bs!$A$4:$A$68,0),MATCH(N$6,bs!$B$3:$CO$3,0))</f>
        <v>0.8</v>
      </c>
      <c r="O26" s="56">
        <f>INDEX(bs!$B$4:$CO$68,MATCH($B26,bs!$A$4:$A$68,0),MATCH(O$6,bs!$B$3:$CO$3,0))</f>
        <v>0.8</v>
      </c>
      <c r="P26" s="28"/>
      <c r="Q26" s="28"/>
      <c r="R26" s="28"/>
      <c r="S26" s="28"/>
      <c r="T26" s="28"/>
      <c r="U26" s="28"/>
      <c r="V26" s="28"/>
    </row>
    <row r="27" spans="2:22" ht="15" thickBot="1" x14ac:dyDescent="0.35">
      <c r="B27" s="17" t="s">
        <v>216</v>
      </c>
      <c r="C27" s="17"/>
      <c r="D27" s="17"/>
      <c r="E27" s="78">
        <f>INDEX(bs!$B$4:$CO$68,MATCH($B27,bs!$A$4:$A$68,0),MATCH(E$6,bs!$B$3:$CO$3,0))</f>
        <v>19.100000000000001</v>
      </c>
      <c r="F27" s="78">
        <f>INDEX(bs!$B$4:$CO$68,MATCH($B27,bs!$A$4:$A$68,0),MATCH(F$6,bs!$B$3:$CO$3,0))</f>
        <v>21.7</v>
      </c>
      <c r="G27" s="78">
        <f>INDEX(bs!$B$4:$CO$68,MATCH($B27,bs!$A$4:$A$68,0),MATCH(G$6,bs!$B$3:$CO$3,0))</f>
        <v>24.7</v>
      </c>
      <c r="H27" s="78">
        <f>INDEX(bs!$B$4:$CO$68,MATCH($B27,bs!$A$4:$A$68,0),MATCH(H$6,bs!$B$3:$CO$3,0))</f>
        <v>27.9</v>
      </c>
      <c r="I27" s="78">
        <f>INDEX(bs!$B$4:$CO$68,MATCH($B27,bs!$A$4:$A$68,0),MATCH(I$6,bs!$B$3:$CO$3,0))</f>
        <v>64.400000000000006</v>
      </c>
      <c r="J27" s="78">
        <f>INDEX(bs!$B$4:$CO$68,MATCH($B27,bs!$A$4:$A$68,0),MATCH(J$6,bs!$B$3:$CO$3,0))</f>
        <v>34.6</v>
      </c>
      <c r="K27" s="78">
        <f>INDEX(bs!$B$4:$CO$68,MATCH($B27,bs!$A$4:$A$68,0),MATCH(K$6,bs!$B$3:$CO$3,0))</f>
        <v>55.6</v>
      </c>
      <c r="L27" s="78">
        <f>INDEX(bs!$B$4:$CO$68,MATCH($B27,bs!$A$4:$A$68,0),MATCH(L$6,bs!$B$3:$CO$3,0))</f>
        <v>42.1</v>
      </c>
      <c r="M27" s="78">
        <f>INDEX(bs!$B$4:$CO$68,MATCH($B27,bs!$A$4:$A$68,0),MATCH(M$6,bs!$B$3:$CO$3,0))</f>
        <v>55.8</v>
      </c>
      <c r="N27" s="78">
        <f>INDEX(bs!$B$4:$CO$68,MATCH($B27,bs!$A$4:$A$68,0),MATCH(N$6,bs!$B$3:$CO$3,0))</f>
        <v>163.9</v>
      </c>
      <c r="O27" s="78">
        <f>INDEX(bs!$B$4:$CO$68,MATCH($B27,bs!$A$4:$A$68,0),MATCH(O$6,bs!$B$3:$CO$3,0))</f>
        <v>67.900000000000006</v>
      </c>
      <c r="P27" s="79">
        <f t="shared" ref="P27" si="45">SUM(P24:P26)</f>
        <v>89.151467255101224</v>
      </c>
      <c r="Q27" s="79">
        <f t="shared" ref="Q27:U27" si="46">SUM(Q24:Q26)</f>
        <v>93.539040617856287</v>
      </c>
      <c r="R27" s="79">
        <f t="shared" si="46"/>
        <v>98.145992648749115</v>
      </c>
      <c r="S27" s="79">
        <f t="shared" si="46"/>
        <v>102.98329228118658</v>
      </c>
      <c r="T27" s="79">
        <f t="shared" si="46"/>
        <v>108.0624568952459</v>
      </c>
      <c r="U27" s="79">
        <f t="shared" si="46"/>
        <v>113.3955797400082</v>
      </c>
      <c r="V27" s="79">
        <f t="shared" ref="V27" si="47">SUM(V24:V26)</f>
        <v>118.99535872700861</v>
      </c>
    </row>
    <row r="28" spans="2:22" ht="15" thickTop="1" x14ac:dyDescent="0.3">
      <c r="B28" s="1" t="s">
        <v>217</v>
      </c>
      <c r="E28" s="56">
        <f>INDEX(bs!$B$4:$CO$68,MATCH($B28,bs!$A$4:$A$68,0),MATCH(E$6,bs!$B$3:$CO$3,0))</f>
        <v>0.7</v>
      </c>
      <c r="F28" s="56">
        <f>INDEX(bs!$B$4:$CO$68,MATCH($B28,bs!$A$4:$A$68,0),MATCH(F$6,bs!$B$3:$CO$3,0))</f>
        <v>0.3</v>
      </c>
      <c r="G28" s="56">
        <f>INDEX(bs!$B$4:$CO$68,MATCH($B28,bs!$A$4:$A$68,0),MATCH(G$6,bs!$B$3:$CO$3,0))</f>
        <v>0.1</v>
      </c>
      <c r="H28" s="56">
        <f>INDEX(bs!$B$4:$CO$68,MATCH($B28,bs!$A$4:$A$68,0),MATCH(H$6,bs!$B$3:$CO$3,0))</f>
        <v>0</v>
      </c>
      <c r="I28" s="56">
        <f>INDEX(bs!$B$4:$CO$68,MATCH($B28,bs!$A$4:$A$68,0),MATCH(I$6,bs!$B$3:$CO$3,0))</f>
        <v>0</v>
      </c>
      <c r="J28" s="56">
        <f>INDEX(bs!$B$4:$CO$68,MATCH($B28,bs!$A$4:$A$68,0),MATCH(J$6,bs!$B$3:$CO$3,0))</f>
        <v>6.3</v>
      </c>
      <c r="K28" s="56">
        <f>INDEX(bs!$B$4:$CO$68,MATCH($B28,bs!$A$4:$A$68,0),MATCH(K$6,bs!$B$3:$CO$3,0))</f>
        <v>5.7</v>
      </c>
      <c r="L28" s="56">
        <f>INDEX(bs!$B$4:$CO$68,MATCH($B28,bs!$A$4:$A$68,0),MATCH(L$6,bs!$B$3:$CO$3,0))</f>
        <v>5.4</v>
      </c>
      <c r="M28" s="56">
        <f>INDEX(bs!$B$4:$CO$68,MATCH($B28,bs!$A$4:$A$68,0),MATCH(M$6,bs!$B$3:$CO$3,0))</f>
        <v>5.8</v>
      </c>
      <c r="N28" s="56">
        <f>INDEX(bs!$B$4:$CO$68,MATCH($B28,bs!$A$4:$A$68,0),MATCH(N$6,bs!$B$3:$CO$3,0))</f>
        <v>5.8</v>
      </c>
      <c r="O28" s="56">
        <f>INDEX(bs!$B$4:$CO$68,MATCH($B28,bs!$A$4:$A$68,0),MATCH(O$6,bs!$B$3:$CO$3,0))</f>
        <v>5.3</v>
      </c>
      <c r="P28" s="28">
        <f>summary!P33</f>
        <v>6.1</v>
      </c>
      <c r="Q28" s="28">
        <f>summary!Q33</f>
        <v>6.1</v>
      </c>
      <c r="R28" s="28">
        <f>summary!R33</f>
        <v>6.1</v>
      </c>
      <c r="S28" s="28">
        <f>summary!S33</f>
        <v>6.1</v>
      </c>
      <c r="T28" s="28">
        <f>summary!T33</f>
        <v>6.1</v>
      </c>
      <c r="U28" s="28">
        <f>summary!U33</f>
        <v>6.1</v>
      </c>
      <c r="V28" s="28">
        <f>summary!V33</f>
        <v>6.1</v>
      </c>
    </row>
    <row r="29" spans="2:22" x14ac:dyDescent="0.3">
      <c r="B29" s="1" t="s">
        <v>148</v>
      </c>
      <c r="E29" s="56">
        <f>INDEX(bs!$B$4:$CO$68,MATCH($B29,bs!$A$4:$A$68,0),MATCH(E$6,bs!$B$3:$CO$3,0))</f>
        <v>0</v>
      </c>
      <c r="F29" s="56">
        <f>INDEX(bs!$B$4:$CO$68,MATCH($B29,bs!$A$4:$A$68,0),MATCH(F$6,bs!$B$3:$CO$3,0))</f>
        <v>0</v>
      </c>
      <c r="G29" s="56">
        <f>INDEX(bs!$B$4:$CO$68,MATCH($B29,bs!$A$4:$A$68,0),MATCH(G$6,bs!$B$3:$CO$3,0))</f>
        <v>0</v>
      </c>
      <c r="H29" s="56">
        <f>INDEX(bs!$B$4:$CO$68,MATCH($B29,bs!$A$4:$A$68,0),MATCH(H$6,bs!$B$3:$CO$3,0))</f>
        <v>0</v>
      </c>
      <c r="I29" s="56">
        <f>INDEX(bs!$B$4:$CO$68,MATCH($B29,bs!$A$4:$A$68,0),MATCH(I$6,bs!$B$3:$CO$3,0))</f>
        <v>0</v>
      </c>
      <c r="J29" s="56">
        <f>INDEX(bs!$B$4:$CO$68,MATCH($B29,bs!$A$4:$A$68,0),MATCH(J$6,bs!$B$3:$CO$3,0))</f>
        <v>0</v>
      </c>
      <c r="K29" s="56">
        <f>INDEX(bs!$B$4:$CO$68,MATCH($B29,bs!$A$4:$A$68,0),MATCH(K$6,bs!$B$3:$CO$3,0))</f>
        <v>0</v>
      </c>
      <c r="L29" s="56">
        <f>INDEX(bs!$B$4:$CO$68,MATCH($B29,bs!$A$4:$A$68,0),MATCH(L$6,bs!$B$3:$CO$3,0))</f>
        <v>0</v>
      </c>
      <c r="M29" s="56">
        <f>INDEX(bs!$B$4:$CO$68,MATCH($B29,bs!$A$4:$A$68,0),MATCH(M$6,bs!$B$3:$CO$3,0))</f>
        <v>0</v>
      </c>
      <c r="N29" s="56">
        <f>INDEX(bs!$B$4:$CO$68,MATCH($B29,bs!$A$4:$A$68,0),MATCH(N$6,bs!$B$3:$CO$3,0))</f>
        <v>0</v>
      </c>
      <c r="O29" s="56">
        <f>INDEX(bs!$B$4:$CO$68,MATCH($B29,bs!$A$4:$A$68,0),MATCH(O$6,bs!$B$3:$CO$3,0))</f>
        <v>0</v>
      </c>
      <c r="P29" s="28">
        <f t="shared" ref="P29:Q31" si="48">O29</f>
        <v>0</v>
      </c>
      <c r="Q29" s="28">
        <f t="shared" si="48"/>
        <v>0</v>
      </c>
      <c r="R29" s="28">
        <f t="shared" ref="R29:R31" si="49">Q29</f>
        <v>0</v>
      </c>
      <c r="S29" s="28">
        <f t="shared" ref="S29:S31" si="50">R29</f>
        <v>0</v>
      </c>
      <c r="T29" s="28">
        <f t="shared" ref="T29:T31" si="51">S29</f>
        <v>0</v>
      </c>
      <c r="U29" s="28">
        <f t="shared" ref="U29:V31" si="52">T29</f>
        <v>0</v>
      </c>
      <c r="V29" s="28">
        <f t="shared" si="52"/>
        <v>0</v>
      </c>
    </row>
    <row r="30" spans="2:22" x14ac:dyDescent="0.3">
      <c r="B30" s="1" t="s">
        <v>218</v>
      </c>
      <c r="E30" s="56">
        <f>INDEX(bs!$B$4:$CO$68,MATCH($B30,bs!$A$4:$A$68,0),MATCH(E$6,bs!$B$3:$CO$3,0))</f>
        <v>0</v>
      </c>
      <c r="F30" s="56">
        <f>INDEX(bs!$B$4:$CO$68,MATCH($B30,bs!$A$4:$A$68,0),MATCH(F$6,bs!$B$3:$CO$3,0))</f>
        <v>0</v>
      </c>
      <c r="G30" s="56">
        <f>INDEX(bs!$B$4:$CO$68,MATCH($B30,bs!$A$4:$A$68,0),MATCH(G$6,bs!$B$3:$CO$3,0))</f>
        <v>0</v>
      </c>
      <c r="H30" s="56">
        <f>INDEX(bs!$B$4:$CO$68,MATCH($B30,bs!$A$4:$A$68,0),MATCH(H$6,bs!$B$3:$CO$3,0))</f>
        <v>0</v>
      </c>
      <c r="I30" s="56">
        <f>INDEX(bs!$B$4:$CO$68,MATCH($B30,bs!$A$4:$A$68,0),MATCH(I$6,bs!$B$3:$CO$3,0))</f>
        <v>0</v>
      </c>
      <c r="J30" s="56">
        <f>INDEX(bs!$B$4:$CO$68,MATCH($B30,bs!$A$4:$A$68,0),MATCH(J$6,bs!$B$3:$CO$3,0))</f>
        <v>0</v>
      </c>
      <c r="K30" s="56">
        <f>INDEX(bs!$B$4:$CO$68,MATCH($B30,bs!$A$4:$A$68,0),MATCH(K$6,bs!$B$3:$CO$3,0))</f>
        <v>0.2</v>
      </c>
      <c r="L30" s="56">
        <f>INDEX(bs!$B$4:$CO$68,MATCH($B30,bs!$A$4:$A$68,0),MATCH(L$6,bs!$B$3:$CO$3,0))</f>
        <v>0.1</v>
      </c>
      <c r="M30" s="56">
        <f>INDEX(bs!$B$4:$CO$68,MATCH($B30,bs!$A$4:$A$68,0),MATCH(M$6,bs!$B$3:$CO$3,0))</f>
        <v>0.2</v>
      </c>
      <c r="N30" s="56">
        <f>INDEX(bs!$B$4:$CO$68,MATCH($B30,bs!$A$4:$A$68,0),MATCH(N$6,bs!$B$3:$CO$3,0))</f>
        <v>0.2</v>
      </c>
      <c r="O30" s="56">
        <f>INDEX(bs!$B$4:$CO$68,MATCH($B30,bs!$A$4:$A$68,0),MATCH(O$6,bs!$B$3:$CO$3,0))</f>
        <v>0.2</v>
      </c>
      <c r="P30" s="28">
        <f t="shared" si="48"/>
        <v>0.2</v>
      </c>
      <c r="Q30" s="28">
        <f t="shared" si="48"/>
        <v>0.2</v>
      </c>
      <c r="R30" s="28">
        <f t="shared" si="49"/>
        <v>0.2</v>
      </c>
      <c r="S30" s="28">
        <f t="shared" si="50"/>
        <v>0.2</v>
      </c>
      <c r="T30" s="28">
        <f t="shared" si="51"/>
        <v>0.2</v>
      </c>
      <c r="U30" s="28">
        <f t="shared" si="52"/>
        <v>0.2</v>
      </c>
      <c r="V30" s="28">
        <f t="shared" si="52"/>
        <v>0.2</v>
      </c>
    </row>
    <row r="31" spans="2:22" x14ac:dyDescent="0.3">
      <c r="B31" s="1" t="s">
        <v>220</v>
      </c>
      <c r="E31" s="56">
        <f>INDEX(bs!$B$4:$CO$68,MATCH($B31,bs!$A$4:$A$68,0),MATCH(E$6,bs!$B$3:$CO$3,0))</f>
        <v>0.6</v>
      </c>
      <c r="F31" s="56">
        <f>INDEX(bs!$B$4:$CO$68,MATCH($B31,bs!$A$4:$A$68,0),MATCH(F$6,bs!$B$3:$CO$3,0))</f>
        <v>0.4</v>
      </c>
      <c r="G31" s="56">
        <f>INDEX(bs!$B$4:$CO$68,MATCH($B31,bs!$A$4:$A$68,0),MATCH(G$6,bs!$B$3:$CO$3,0))</f>
        <v>0.5</v>
      </c>
      <c r="H31" s="56">
        <f>INDEX(bs!$B$4:$CO$68,MATCH($B31,bs!$A$4:$A$68,0),MATCH(H$6,bs!$B$3:$CO$3,0))</f>
        <v>3.7</v>
      </c>
      <c r="I31" s="56">
        <f>INDEX(bs!$B$4:$CO$68,MATCH($B31,bs!$A$4:$A$68,0),MATCH(I$6,bs!$B$3:$CO$3,0))</f>
        <v>4.9000000000000004</v>
      </c>
      <c r="J31" s="56">
        <f>INDEX(bs!$B$4:$CO$68,MATCH($B31,bs!$A$4:$A$68,0),MATCH(J$6,bs!$B$3:$CO$3,0))</f>
        <v>0.5</v>
      </c>
      <c r="K31" s="56">
        <f>INDEX(bs!$B$4:$CO$68,MATCH($B31,bs!$A$4:$A$68,0),MATCH(K$6,bs!$B$3:$CO$3,0))</f>
        <v>2.1</v>
      </c>
      <c r="L31" s="56">
        <f>INDEX(bs!$B$4:$CO$68,MATCH($B31,bs!$A$4:$A$68,0),MATCH(L$6,bs!$B$3:$CO$3,0))</f>
        <v>0.9</v>
      </c>
      <c r="M31" s="56">
        <f>INDEX(bs!$B$4:$CO$68,MATCH($B31,bs!$A$4:$A$68,0),MATCH(M$6,bs!$B$3:$CO$3,0))</f>
        <v>2.2999999999999998</v>
      </c>
      <c r="N31" s="56">
        <f>INDEX(bs!$B$4:$CO$68,MATCH($B31,bs!$A$4:$A$68,0),MATCH(N$6,bs!$B$3:$CO$3,0))</f>
        <v>10.3</v>
      </c>
      <c r="O31" s="56">
        <f>INDEX(bs!$B$4:$CO$68,MATCH($B31,bs!$A$4:$A$68,0),MATCH(O$6,bs!$B$3:$CO$3,0))</f>
        <v>5.2</v>
      </c>
      <c r="P31" s="28">
        <f t="shared" si="48"/>
        <v>5.2</v>
      </c>
      <c r="Q31" s="28">
        <f t="shared" si="48"/>
        <v>5.2</v>
      </c>
      <c r="R31" s="28">
        <f t="shared" si="49"/>
        <v>5.2</v>
      </c>
      <c r="S31" s="28">
        <f t="shared" si="50"/>
        <v>5.2</v>
      </c>
      <c r="T31" s="28">
        <f t="shared" si="51"/>
        <v>5.2</v>
      </c>
      <c r="U31" s="28">
        <f t="shared" si="52"/>
        <v>5.2</v>
      </c>
      <c r="V31" s="28">
        <f t="shared" si="52"/>
        <v>5.2</v>
      </c>
    </row>
    <row r="32" spans="2:22" ht="15" thickBot="1" x14ac:dyDescent="0.35">
      <c r="B32" s="17" t="s">
        <v>18</v>
      </c>
      <c r="C32" s="17"/>
      <c r="D32" s="17"/>
      <c r="E32" s="78">
        <f>SUM(E27:E31)</f>
        <v>20.400000000000002</v>
      </c>
      <c r="F32" s="78">
        <f t="shared" ref="F32:H32" si="53">SUM(F27:F31)</f>
        <v>22.4</v>
      </c>
      <c r="G32" s="78">
        <f t="shared" si="53"/>
        <v>25.3</v>
      </c>
      <c r="H32" s="78">
        <f t="shared" si="53"/>
        <v>31.599999999999998</v>
      </c>
      <c r="I32" s="78">
        <f t="shared" ref="I32:J32" si="54">SUM(I27:I31)</f>
        <v>69.300000000000011</v>
      </c>
      <c r="J32" s="78">
        <f t="shared" si="54"/>
        <v>41.4</v>
      </c>
      <c r="K32" s="78">
        <f t="shared" ref="K32:P32" si="55">SUM(K27:K31)</f>
        <v>63.600000000000009</v>
      </c>
      <c r="L32" s="78">
        <f t="shared" si="55"/>
        <v>48.5</v>
      </c>
      <c r="M32" s="78">
        <f t="shared" si="55"/>
        <v>64.099999999999994</v>
      </c>
      <c r="N32" s="78">
        <f t="shared" si="55"/>
        <v>180.20000000000002</v>
      </c>
      <c r="O32" s="78">
        <f t="shared" si="55"/>
        <v>78.600000000000009</v>
      </c>
      <c r="P32" s="79">
        <f t="shared" si="55"/>
        <v>100.65146725510122</v>
      </c>
      <c r="Q32" s="79">
        <f t="shared" ref="Q32:U32" si="56">SUM(Q27:Q31)</f>
        <v>105.03904061785629</v>
      </c>
      <c r="R32" s="79">
        <f t="shared" si="56"/>
        <v>109.64599264874911</v>
      </c>
      <c r="S32" s="79">
        <f t="shared" si="56"/>
        <v>114.48329228118658</v>
      </c>
      <c r="T32" s="79">
        <f t="shared" si="56"/>
        <v>119.5624568952459</v>
      </c>
      <c r="U32" s="79">
        <f t="shared" si="56"/>
        <v>124.8955797400082</v>
      </c>
      <c r="V32" s="79">
        <f t="shared" ref="V32" si="57">SUM(V27:V31)</f>
        <v>130.49535872700861</v>
      </c>
    </row>
    <row r="33" spans="2:22" ht="15" thickTop="1" x14ac:dyDescent="0.3"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28"/>
      <c r="Q33" s="28"/>
      <c r="R33" s="28"/>
      <c r="S33" s="28"/>
      <c r="T33" s="28"/>
      <c r="U33" s="28"/>
      <c r="V33" s="28"/>
    </row>
    <row r="34" spans="2:22" ht="15" thickBot="1" x14ac:dyDescent="0.35">
      <c r="B34" s="17" t="s">
        <v>20</v>
      </c>
      <c r="C34" s="17"/>
      <c r="D34" s="17"/>
      <c r="E34" s="78">
        <f t="shared" ref="E34:H34" si="58">E22-E32</f>
        <v>6.5999999999999979</v>
      </c>
      <c r="F34" s="78">
        <f t="shared" si="58"/>
        <v>7.600000000000005</v>
      </c>
      <c r="G34" s="78">
        <f t="shared" si="58"/>
        <v>3</v>
      </c>
      <c r="H34" s="78">
        <f t="shared" si="58"/>
        <v>20.2</v>
      </c>
      <c r="I34" s="78">
        <f t="shared" ref="I34:J34" si="59">I22-I32</f>
        <v>24.899999999999991</v>
      </c>
      <c r="J34" s="78">
        <f t="shared" si="59"/>
        <v>25.499999999999993</v>
      </c>
      <c r="K34" s="78">
        <f t="shared" ref="K34:P34" si="60">K22-K32</f>
        <v>28.699999999999989</v>
      </c>
      <c r="L34" s="78">
        <f t="shared" si="60"/>
        <v>29.900000000000006</v>
      </c>
      <c r="M34" s="78">
        <f t="shared" si="60"/>
        <v>33.200000000000003</v>
      </c>
      <c r="N34" s="78">
        <f t="shared" si="60"/>
        <v>36.899999999999977</v>
      </c>
      <c r="O34" s="78">
        <f t="shared" si="60"/>
        <v>38.799999999999997</v>
      </c>
      <c r="P34" s="79">
        <f t="shared" si="60"/>
        <v>40.53100000000002</v>
      </c>
      <c r="Q34" s="79">
        <f t="shared" ref="Q34:U34" si="61">Q22-Q32</f>
        <v>42.318267330342124</v>
      </c>
      <c r="R34" s="79">
        <f t="shared" si="61"/>
        <v>44.172186024957938</v>
      </c>
      <c r="S34" s="79">
        <f t="shared" si="61"/>
        <v>46.101766652622018</v>
      </c>
      <c r="T34" s="79">
        <f t="shared" si="61"/>
        <v>48.115050810407325</v>
      </c>
      <c r="U34" s="79">
        <f t="shared" si="61"/>
        <v>50.219417550135489</v>
      </c>
      <c r="V34" s="79">
        <f t="shared" ref="V34" si="62">V22-V32</f>
        <v>52.421816407390224</v>
      </c>
    </row>
    <row r="35" spans="2:22" ht="15" thickTop="1" x14ac:dyDescent="0.3"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28"/>
      <c r="Q35" s="28"/>
      <c r="R35" s="28"/>
      <c r="S35" s="28"/>
      <c r="T35" s="28"/>
      <c r="U35" s="28"/>
      <c r="V35" s="28"/>
    </row>
    <row r="36" spans="2:22" x14ac:dyDescent="0.3">
      <c r="B36" s="1" t="s">
        <v>225</v>
      </c>
      <c r="E36" s="56">
        <f>INDEX(bs!$B$4:$CO$68,MATCH($B36,bs!$A$4:$A$68,0),MATCH(E$6,bs!$B$3:$CO$3,0))</f>
        <v>0</v>
      </c>
      <c r="F36" s="56">
        <f>INDEX(bs!$B$4:$CO$68,MATCH($B36,bs!$A$4:$A$68,0),MATCH(F$6,bs!$B$3:$CO$3,0))</f>
        <v>0</v>
      </c>
      <c r="G36" s="56">
        <f>INDEX(bs!$B$4:$CO$68,MATCH($B36,bs!$A$4:$A$68,0),MATCH(G$6,bs!$B$3:$CO$3,0))</f>
        <v>3.1</v>
      </c>
      <c r="H36" s="56">
        <f>INDEX(bs!$B$4:$CO$68,MATCH($B36,bs!$A$4:$A$68,0),MATCH(H$6,bs!$B$3:$CO$3,0))</f>
        <v>0.1</v>
      </c>
      <c r="I36" s="56">
        <f>INDEX(bs!$B$4:$CO$68,MATCH($B36,bs!$A$4:$A$68,0),MATCH(I$6,bs!$B$3:$CO$3,0))</f>
        <v>0.1</v>
      </c>
      <c r="J36" s="56">
        <f>INDEX(bs!$B$4:$CO$68,MATCH($B36,bs!$A$4:$A$68,0),MATCH(J$6,bs!$B$3:$CO$3,0))</f>
        <v>0.1</v>
      </c>
      <c r="K36" s="56">
        <f>INDEX(bs!$B$4:$CO$68,MATCH($B36,bs!$A$4:$A$68,0),MATCH(K$6,bs!$B$3:$CO$3,0))</f>
        <v>0.1</v>
      </c>
      <c r="L36" s="56">
        <f>INDEX(bs!$B$4:$CO$68,MATCH($B36,bs!$A$4:$A$68,0),MATCH(L$6,bs!$B$3:$CO$3,0))</f>
        <v>0.1</v>
      </c>
      <c r="M36" s="56">
        <f>INDEX(bs!$B$4:$CO$68,MATCH($B36,bs!$A$4:$A$68,0),MATCH(M$6,bs!$B$3:$CO$3,0))</f>
        <v>0.1</v>
      </c>
      <c r="N36" s="56">
        <f>INDEX(bs!$B$4:$CO$68,MATCH($B36,bs!$A$4:$A$68,0),MATCH(N$6,bs!$B$3:$CO$3,0))</f>
        <v>0.1</v>
      </c>
      <c r="O36" s="56">
        <f>INDEX(bs!$B$4:$CO$68,MATCH($B36,bs!$A$4:$A$68,0),MATCH(O$6,bs!$B$3:$CO$3,0))</f>
        <v>0.1</v>
      </c>
      <c r="P36" s="28">
        <f t="shared" ref="P36:Q39" si="63">O36</f>
        <v>0.1</v>
      </c>
      <c r="Q36" s="28">
        <f t="shared" si="63"/>
        <v>0.1</v>
      </c>
      <c r="R36" s="28">
        <f t="shared" ref="R36:R39" si="64">Q36</f>
        <v>0.1</v>
      </c>
      <c r="S36" s="28">
        <f t="shared" ref="S36:S39" si="65">R36</f>
        <v>0.1</v>
      </c>
      <c r="T36" s="28">
        <f t="shared" ref="T36:T39" si="66">S36</f>
        <v>0.1</v>
      </c>
      <c r="U36" s="28">
        <f t="shared" ref="U36:V39" si="67">T36</f>
        <v>0.1</v>
      </c>
      <c r="V36" s="28">
        <f t="shared" si="67"/>
        <v>0.1</v>
      </c>
    </row>
    <row r="37" spans="2:22" x14ac:dyDescent="0.3">
      <c r="B37" s="1" t="s">
        <v>226</v>
      </c>
      <c r="E37" s="56">
        <f>INDEX(bs!$B$4:$CO$68,MATCH($B37,bs!$A$4:$A$68,0),MATCH(E$6,bs!$B$3:$CO$3,0))</f>
        <v>0</v>
      </c>
      <c r="F37" s="56">
        <f>INDEX(bs!$B$4:$CO$68,MATCH($B37,bs!$A$4:$A$68,0),MATCH(F$6,bs!$B$3:$CO$3,0))</f>
        <v>0</v>
      </c>
      <c r="G37" s="56">
        <f>INDEX(bs!$B$4:$CO$68,MATCH($B37,bs!$A$4:$A$68,0),MATCH(G$6,bs!$B$3:$CO$3,0))</f>
        <v>0</v>
      </c>
      <c r="H37" s="56">
        <f>INDEX(bs!$B$4:$CO$68,MATCH($B37,bs!$A$4:$A$68,0),MATCH(H$6,bs!$B$3:$CO$3,0))-bs!E18</f>
        <v>16.900000000000006</v>
      </c>
      <c r="I37" s="56">
        <f>INDEX(bs!$B$4:$CO$68,MATCH($B37,bs!$A$4:$A$68,0),MATCH(I$6,bs!$B$3:$CO$3,0))</f>
        <v>12.7</v>
      </c>
      <c r="J37" s="56">
        <f>INDEX(bs!$B$4:$CO$68,MATCH($B37,bs!$A$4:$A$68,0),MATCH(J$6,bs!$B$3:$CO$3,0))</f>
        <v>12.7</v>
      </c>
      <c r="K37" s="56">
        <f>INDEX(bs!$B$4:$CO$68,MATCH($B37,bs!$A$4:$A$68,0),MATCH(K$6,bs!$B$3:$CO$3,0))</f>
        <v>12.7</v>
      </c>
      <c r="L37" s="56">
        <f>INDEX(bs!$B$4:$CO$68,MATCH($B37,bs!$A$4:$A$68,0),MATCH(L$6,bs!$B$3:$CO$3,0))</f>
        <v>12.7</v>
      </c>
      <c r="M37" s="56">
        <f>INDEX(bs!$B$4:$CO$68,MATCH($B37,bs!$A$4:$A$68,0),MATCH(M$6,bs!$B$3:$CO$3,0))</f>
        <v>12.7</v>
      </c>
      <c r="N37" s="56">
        <f>INDEX(bs!$B$4:$CO$68,MATCH($B37,bs!$A$4:$A$68,0),MATCH(N$6,bs!$B$3:$CO$3,0))</f>
        <v>12.7</v>
      </c>
      <c r="O37" s="56">
        <f>INDEX(bs!$B$4:$CO$68,MATCH($B37,bs!$A$4:$A$68,0),MATCH(O$6,bs!$B$3:$CO$3,0))</f>
        <v>12.7</v>
      </c>
      <c r="P37" s="28">
        <f t="shared" si="63"/>
        <v>12.7</v>
      </c>
      <c r="Q37" s="28">
        <f t="shared" si="63"/>
        <v>12.7</v>
      </c>
      <c r="R37" s="28">
        <f t="shared" si="64"/>
        <v>12.7</v>
      </c>
      <c r="S37" s="28">
        <f t="shared" si="65"/>
        <v>12.7</v>
      </c>
      <c r="T37" s="28">
        <f t="shared" si="66"/>
        <v>12.7</v>
      </c>
      <c r="U37" s="28">
        <f t="shared" si="67"/>
        <v>12.7</v>
      </c>
      <c r="V37" s="28">
        <f t="shared" si="67"/>
        <v>12.7</v>
      </c>
    </row>
    <row r="38" spans="2:22" x14ac:dyDescent="0.3">
      <c r="B38" s="1" t="s">
        <v>227</v>
      </c>
      <c r="E38" s="56">
        <f>INDEX(bs!$B$4:$CO$68,MATCH($B38,bs!$A$4:$A$68,0),MATCH(E$6,bs!$B$3:$CO$3,0))</f>
        <v>0</v>
      </c>
      <c r="F38" s="56">
        <f>INDEX(bs!$B$4:$CO$68,MATCH($B38,bs!$A$4:$A$68,0),MATCH(F$6,bs!$B$3:$CO$3,0))</f>
        <v>0</v>
      </c>
      <c r="G38" s="56">
        <f>INDEX(bs!$B$4:$CO$68,MATCH($B38,bs!$A$4:$A$68,0),MATCH(G$6,bs!$B$3:$CO$3,0))</f>
        <v>0</v>
      </c>
      <c r="H38" s="56">
        <f>INDEX(bs!$B$4:$CO$68,MATCH($B38,bs!$A$4:$A$68,0),MATCH(H$6,bs!$B$3:$CO$3,0))</f>
        <v>0</v>
      </c>
      <c r="I38" s="56">
        <f>INDEX(bs!$B$4:$CO$68,MATCH($B38,bs!$A$4:$A$68,0),MATCH(I$6,bs!$B$3:$CO$3,0))</f>
        <v>0</v>
      </c>
      <c r="J38" s="56">
        <f>INDEX(bs!$B$4:$CO$68,MATCH($B38,bs!$A$4:$A$68,0),MATCH(J$6,bs!$B$3:$CO$3,0))</f>
        <v>0</v>
      </c>
      <c r="K38" s="56">
        <f>INDEX(bs!$B$4:$CO$68,MATCH($B38,bs!$A$4:$A$68,0),MATCH(K$6,bs!$B$3:$CO$3,0))</f>
        <v>0</v>
      </c>
      <c r="L38" s="56">
        <f>INDEX(bs!$B$4:$CO$68,MATCH($B38,bs!$A$4:$A$68,0),MATCH(L$6,bs!$B$3:$CO$3,0))</f>
        <v>0</v>
      </c>
      <c r="M38" s="56">
        <f>INDEX(bs!$B$4:$CO$68,MATCH($B38,bs!$A$4:$A$68,0),MATCH(M$6,bs!$B$3:$CO$3,0))</f>
        <v>0</v>
      </c>
      <c r="N38" s="56">
        <f>INDEX(bs!$B$4:$CO$68,MATCH($B38,bs!$A$4:$A$68,0),MATCH(N$6,bs!$B$3:$CO$3,0))</f>
        <v>0</v>
      </c>
      <c r="O38" s="56">
        <f>INDEX(bs!$B$4:$CO$68,MATCH($B38,bs!$A$4:$A$68,0),MATCH(O$6,bs!$B$3:$CO$3,0))</f>
        <v>0</v>
      </c>
      <c r="P38" s="28">
        <f t="shared" si="63"/>
        <v>0</v>
      </c>
      <c r="Q38" s="28">
        <f t="shared" si="63"/>
        <v>0</v>
      </c>
      <c r="R38" s="28">
        <f t="shared" si="64"/>
        <v>0</v>
      </c>
      <c r="S38" s="28">
        <f t="shared" si="65"/>
        <v>0</v>
      </c>
      <c r="T38" s="28">
        <f t="shared" si="66"/>
        <v>0</v>
      </c>
      <c r="U38" s="28">
        <f t="shared" si="67"/>
        <v>0</v>
      </c>
      <c r="V38" s="28">
        <f t="shared" si="67"/>
        <v>0</v>
      </c>
    </row>
    <row r="39" spans="2:22" x14ac:dyDescent="0.3">
      <c r="B39" s="1" t="s">
        <v>229</v>
      </c>
      <c r="E39" s="56">
        <f>INDEX(bs!$B$4:$CO$68,MATCH($B39,bs!$A$4:$A$68,0),MATCH(E$6,bs!$B$3:$CO$3,0))</f>
        <v>6.7</v>
      </c>
      <c r="F39" s="56">
        <f>INDEX(bs!$B$4:$CO$68,MATCH($B39,bs!$A$4:$A$68,0),MATCH(F$6,bs!$B$3:$CO$3,0))</f>
        <v>7.7</v>
      </c>
      <c r="G39" s="56">
        <f>INDEX(bs!$B$4:$CO$68,MATCH($B39,bs!$A$4:$A$68,0),MATCH(G$6,bs!$B$3:$CO$3,0))</f>
        <v>0</v>
      </c>
      <c r="H39" s="56">
        <f>INDEX(bs!$B$4:$CO$68,MATCH($B39,bs!$A$4:$A$68,0),MATCH(H$6,bs!$B$3:$CO$3,0))</f>
        <v>0</v>
      </c>
      <c r="I39" s="56">
        <f>INDEX(bs!$B$4:$CO$68,MATCH($B39,bs!$A$4:$A$68,0),MATCH(I$6,bs!$B$3:$CO$3,0))</f>
        <v>4.5</v>
      </c>
      <c r="J39" s="56">
        <f>INDEX(bs!$B$4:$CO$68,MATCH($B39,bs!$A$4:$A$68,0),MATCH(J$6,bs!$B$3:$CO$3,0))</f>
        <v>4.7</v>
      </c>
      <c r="K39" s="56">
        <f>INDEX(bs!$B$4:$CO$68,MATCH($B39,bs!$A$4:$A$68,0),MATCH(K$6,bs!$B$3:$CO$3,0))</f>
        <v>4.7</v>
      </c>
      <c r="L39" s="56">
        <f>INDEX(bs!$B$4:$CO$68,MATCH($B39,bs!$A$4:$A$68,0),MATCH(L$6,bs!$B$3:$CO$3,0))</f>
        <v>4.8</v>
      </c>
      <c r="M39" s="56">
        <f>INDEX(bs!$B$4:$CO$68,MATCH($B39,bs!$A$4:$A$68,0),MATCH(M$6,bs!$B$3:$CO$3,0))</f>
        <v>4.9000000000000004</v>
      </c>
      <c r="N39" s="56">
        <f>INDEX(bs!$B$4:$CO$68,MATCH($B39,bs!$A$4:$A$68,0),MATCH(N$6,bs!$B$3:$CO$3,0))</f>
        <v>5</v>
      </c>
      <c r="O39" s="56">
        <f>INDEX(bs!$B$4:$CO$68,MATCH($B39,bs!$A$4:$A$68,0),MATCH(O$6,bs!$B$3:$CO$3,0))</f>
        <v>5</v>
      </c>
      <c r="P39" s="28">
        <f t="shared" si="63"/>
        <v>5</v>
      </c>
      <c r="Q39" s="28">
        <f t="shared" si="63"/>
        <v>5</v>
      </c>
      <c r="R39" s="28">
        <f t="shared" si="64"/>
        <v>5</v>
      </c>
      <c r="S39" s="28">
        <f t="shared" si="65"/>
        <v>5</v>
      </c>
      <c r="T39" s="28">
        <f t="shared" si="66"/>
        <v>5</v>
      </c>
      <c r="U39" s="28">
        <f t="shared" si="67"/>
        <v>5</v>
      </c>
      <c r="V39" s="28">
        <f t="shared" si="67"/>
        <v>5</v>
      </c>
    </row>
    <row r="40" spans="2:22" x14ac:dyDescent="0.3">
      <c r="B40" s="1" t="s">
        <v>21</v>
      </c>
      <c r="E40" s="56">
        <f>E41-SUM(E36:E39)</f>
        <v>0</v>
      </c>
      <c r="F40" s="56">
        <f t="shared" ref="F40:H40" si="68">F41-SUM(F36:F39)</f>
        <v>0</v>
      </c>
      <c r="G40" s="56">
        <f t="shared" si="68"/>
        <v>0</v>
      </c>
      <c r="H40" s="56">
        <f t="shared" si="68"/>
        <v>3.1999999999999957</v>
      </c>
      <c r="I40" s="56">
        <f>I41-SUM(I36:I39)</f>
        <v>7.6000000000000014</v>
      </c>
      <c r="J40" s="56">
        <f t="shared" ref="J40" si="69">J41-SUM(J36:J39)</f>
        <v>8</v>
      </c>
      <c r="K40" s="56">
        <f t="shared" ref="K40:O40" si="70">K41-SUM(K36:K39)</f>
        <v>11.2</v>
      </c>
      <c r="L40" s="56">
        <f t="shared" si="70"/>
        <v>12.3</v>
      </c>
      <c r="M40" s="56">
        <f t="shared" si="70"/>
        <v>15.500000000000004</v>
      </c>
      <c r="N40" s="56">
        <f t="shared" si="70"/>
        <v>19.100000000000001</v>
      </c>
      <c r="O40" s="56">
        <f t="shared" si="70"/>
        <v>21</v>
      </c>
      <c r="P40" s="28">
        <f t="shared" ref="P40:Q40" si="71">O40+P61+P90</f>
        <v>22.731000000000002</v>
      </c>
      <c r="Q40" s="28">
        <f t="shared" si="71"/>
        <v>24.51826733034212</v>
      </c>
      <c r="R40" s="28">
        <f t="shared" ref="R40" si="72">Q40+R61+R90</f>
        <v>26.372186024957934</v>
      </c>
      <c r="S40" s="28">
        <f t="shared" ref="S40" si="73">R40+S61+S90</f>
        <v>28.301766652621978</v>
      </c>
      <c r="T40" s="28">
        <f t="shared" ref="T40" si="74">S40+T61+T90</f>
        <v>30.315050810407307</v>
      </c>
      <c r="U40" s="28">
        <f t="shared" ref="U40:V40" si="75">T40+U61+U90</f>
        <v>32.419417550135471</v>
      </c>
      <c r="V40" s="28">
        <f t="shared" si="75"/>
        <v>34.621816407390213</v>
      </c>
    </row>
    <row r="41" spans="2:22" ht="15" thickBot="1" x14ac:dyDescent="0.35">
      <c r="B41" s="17" t="s">
        <v>23</v>
      </c>
      <c r="C41" s="17"/>
      <c r="D41" s="17"/>
      <c r="E41" s="78">
        <f>INDEX(bs!$B$4:$CO$68,MATCH($B41,bs!$A$4:$A$68,0),MATCH(E$6,bs!$B$3:$CO$3,0))</f>
        <v>6.7</v>
      </c>
      <c r="F41" s="78">
        <f>INDEX(bs!$B$4:$CO$68,MATCH($B41,bs!$A$4:$A$68,0),MATCH(F$6,bs!$B$3:$CO$3,0))</f>
        <v>7.7</v>
      </c>
      <c r="G41" s="78">
        <f>INDEX(bs!$B$4:$CO$68,MATCH($B41,bs!$A$4:$A$68,0),MATCH(G$6,bs!$B$3:$CO$3,0))</f>
        <v>3.1</v>
      </c>
      <c r="H41" s="78">
        <f>INDEX(bs!$B$4:$CO$68,MATCH($B41,bs!$A$4:$A$68,0),MATCH(H$6,bs!$B$3:$CO$3,0))-bs!E18</f>
        <v>20.200000000000003</v>
      </c>
      <c r="I41" s="78">
        <f>INDEX(bs!$B$4:$CO$68,MATCH($B41,bs!$A$4:$A$68,0),MATCH(I$6,bs!$B$3:$CO$3,0))</f>
        <v>24.9</v>
      </c>
      <c r="J41" s="78">
        <f>INDEX(bs!$B$4:$CO$68,MATCH($B41,bs!$A$4:$A$68,0),MATCH(J$6,bs!$B$3:$CO$3,0))</f>
        <v>25.5</v>
      </c>
      <c r="K41" s="78">
        <f>INDEX(bs!$B$4:$CO$68,MATCH($B41,bs!$A$4:$A$68,0),MATCH(K$6,bs!$B$3:$CO$3,0))</f>
        <v>28.7</v>
      </c>
      <c r="L41" s="78">
        <f>INDEX(bs!$B$4:$CO$68,MATCH($B41,bs!$A$4:$A$68,0),MATCH(L$6,bs!$B$3:$CO$3,0))</f>
        <v>29.9</v>
      </c>
      <c r="M41" s="78">
        <f>INDEX(bs!$B$4:$CO$68,MATCH($B41,bs!$A$4:$A$68,0),MATCH(M$6,bs!$B$3:$CO$3,0))</f>
        <v>33.200000000000003</v>
      </c>
      <c r="N41" s="78">
        <f>INDEX(bs!$B$4:$CO$68,MATCH($B41,bs!$A$4:$A$68,0),MATCH(N$6,bs!$B$3:$CO$3,0))</f>
        <v>36.9</v>
      </c>
      <c r="O41" s="78">
        <f>INDEX(bs!$B$4:$CO$68,MATCH($B41,bs!$A$4:$A$68,0),MATCH(O$6,bs!$B$3:$CO$3,0))</f>
        <v>38.799999999999997</v>
      </c>
      <c r="P41" s="79">
        <f t="shared" ref="P41" si="76">SUM(P36:P40)</f>
        <v>40.530999999999999</v>
      </c>
      <c r="Q41" s="79">
        <f t="shared" ref="Q41:U41" si="77">SUM(Q36:Q40)</f>
        <v>42.318267330342117</v>
      </c>
      <c r="R41" s="79">
        <f t="shared" si="77"/>
        <v>44.172186024957931</v>
      </c>
      <c r="S41" s="79">
        <f t="shared" si="77"/>
        <v>46.101766652621976</v>
      </c>
      <c r="T41" s="79">
        <f t="shared" si="77"/>
        <v>48.115050810407304</v>
      </c>
      <c r="U41" s="79">
        <f t="shared" si="77"/>
        <v>50.219417550135468</v>
      </c>
      <c r="V41" s="79">
        <f t="shared" ref="V41" si="78">SUM(V36:V40)</f>
        <v>52.42181640739021</v>
      </c>
    </row>
    <row r="42" spans="2:22" ht="15" thickTop="1" x14ac:dyDescent="0.3">
      <c r="B42" s="1" t="s">
        <v>22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28"/>
      <c r="Q42" s="28"/>
      <c r="R42" s="28"/>
      <c r="S42" s="28"/>
      <c r="T42" s="28"/>
      <c r="U42" s="28"/>
      <c r="V42" s="28"/>
    </row>
    <row r="43" spans="2:22" x14ac:dyDescent="0.3">
      <c r="B43" s="1" t="s">
        <v>102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28"/>
      <c r="Q43" s="28"/>
      <c r="R43" s="28"/>
      <c r="S43" s="28"/>
      <c r="T43" s="28"/>
      <c r="U43" s="28"/>
      <c r="V43" s="28"/>
    </row>
    <row r="44" spans="2:22" ht="15" thickBot="1" x14ac:dyDescent="0.35">
      <c r="B44" s="17" t="s">
        <v>23</v>
      </c>
      <c r="C44" s="17"/>
      <c r="D44" s="17"/>
      <c r="E44" s="78">
        <f>SUM(E41:E43)</f>
        <v>6.7</v>
      </c>
      <c r="F44" s="78">
        <f t="shared" ref="F44:H44" si="79">SUM(F41:F43)</f>
        <v>7.7</v>
      </c>
      <c r="G44" s="78">
        <f t="shared" si="79"/>
        <v>3.1</v>
      </c>
      <c r="H44" s="78">
        <f t="shared" si="79"/>
        <v>20.200000000000003</v>
      </c>
      <c r="I44" s="78">
        <f t="shared" ref="I44:J44" si="80">SUM(I41:I43)</f>
        <v>24.9</v>
      </c>
      <c r="J44" s="78">
        <f t="shared" si="80"/>
        <v>25.5</v>
      </c>
      <c r="K44" s="78">
        <f t="shared" ref="K44:P44" si="81">SUM(K41:K43)</f>
        <v>28.7</v>
      </c>
      <c r="L44" s="78">
        <f t="shared" si="81"/>
        <v>29.9</v>
      </c>
      <c r="M44" s="78">
        <f t="shared" si="81"/>
        <v>33.200000000000003</v>
      </c>
      <c r="N44" s="78">
        <f t="shared" si="81"/>
        <v>36.9</v>
      </c>
      <c r="O44" s="78">
        <f t="shared" si="81"/>
        <v>38.799999999999997</v>
      </c>
      <c r="P44" s="79">
        <f t="shared" si="81"/>
        <v>40.530999999999999</v>
      </c>
      <c r="Q44" s="79">
        <f t="shared" ref="Q44:U44" si="82">SUM(Q41:Q43)</f>
        <v>42.318267330342117</v>
      </c>
      <c r="R44" s="79">
        <f t="shared" si="82"/>
        <v>44.172186024957931</v>
      </c>
      <c r="S44" s="79">
        <f t="shared" si="82"/>
        <v>46.101766652621976</v>
      </c>
      <c r="T44" s="79">
        <f t="shared" si="82"/>
        <v>48.115050810407304</v>
      </c>
      <c r="U44" s="79">
        <f t="shared" si="82"/>
        <v>50.219417550135468</v>
      </c>
      <c r="V44" s="79">
        <f t="shared" ref="V44" si="83">SUM(V41:V43)</f>
        <v>52.42181640739021</v>
      </c>
    </row>
    <row r="45" spans="2:22" ht="15" thickTop="1" x14ac:dyDescent="0.3">
      <c r="E45" s="80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2"/>
      <c r="Q45" s="82"/>
      <c r="R45" s="82"/>
      <c r="S45" s="82"/>
      <c r="T45" s="82"/>
      <c r="U45" s="82"/>
      <c r="V45" s="82"/>
    </row>
    <row r="46" spans="2:22" x14ac:dyDescent="0.3">
      <c r="B46" s="21" t="s">
        <v>24</v>
      </c>
      <c r="E46" s="57">
        <f>ROUND(E34-E44,0)</f>
        <v>0</v>
      </c>
      <c r="F46" s="57">
        <f t="shared" ref="F46:H46" si="84">ROUND(F34-F44,0)</f>
        <v>0</v>
      </c>
      <c r="G46" s="57">
        <f t="shared" si="84"/>
        <v>0</v>
      </c>
      <c r="H46" s="57">
        <f t="shared" si="84"/>
        <v>0</v>
      </c>
      <c r="I46" s="57">
        <f t="shared" ref="I46:J46" si="85">ROUND(I34-I44,0)</f>
        <v>0</v>
      </c>
      <c r="J46" s="57">
        <f t="shared" si="85"/>
        <v>0</v>
      </c>
      <c r="K46" s="57">
        <f t="shared" ref="K46:O46" si="86">ROUND(K34-K44,0)</f>
        <v>0</v>
      </c>
      <c r="L46" s="57">
        <f t="shared" si="86"/>
        <v>0</v>
      </c>
      <c r="M46" s="57">
        <f t="shared" si="86"/>
        <v>0</v>
      </c>
      <c r="N46" s="57">
        <f t="shared" si="86"/>
        <v>0</v>
      </c>
      <c r="O46" s="57">
        <f t="shared" si="86"/>
        <v>0</v>
      </c>
      <c r="P46" s="30">
        <f t="shared" ref="P46:U46" si="87">ROUND(P34-P44,0)</f>
        <v>0</v>
      </c>
      <c r="Q46" s="30">
        <f t="shared" si="87"/>
        <v>0</v>
      </c>
      <c r="R46" s="30">
        <f t="shared" si="87"/>
        <v>0</v>
      </c>
      <c r="S46" s="30">
        <f t="shared" si="87"/>
        <v>0</v>
      </c>
      <c r="T46" s="30">
        <f t="shared" si="87"/>
        <v>0</v>
      </c>
      <c r="U46" s="30">
        <f t="shared" si="87"/>
        <v>0</v>
      </c>
      <c r="V46" s="30">
        <f t="shared" ref="V46" si="88">ROUND(V34-V44,0)</f>
        <v>0</v>
      </c>
    </row>
    <row r="47" spans="2:22" x14ac:dyDescent="0.3">
      <c r="E47" s="80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2"/>
      <c r="Q47" s="82"/>
      <c r="R47" s="82"/>
      <c r="S47" s="82"/>
      <c r="T47" s="82"/>
      <c r="U47" s="82"/>
      <c r="V47" s="82"/>
    </row>
    <row r="48" spans="2:22" x14ac:dyDescent="0.3">
      <c r="B48" s="2" t="s">
        <v>30</v>
      </c>
      <c r="C48" s="3"/>
      <c r="D48" s="5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3"/>
      <c r="Q48" s="83"/>
      <c r="R48" s="83"/>
      <c r="S48" s="83"/>
      <c r="T48" s="83"/>
      <c r="U48" s="83"/>
      <c r="V48" s="83"/>
    </row>
    <row r="49" spans="2:22" x14ac:dyDescent="0.3">
      <c r="E49" s="80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2"/>
      <c r="Q49" s="82"/>
      <c r="R49" s="82"/>
      <c r="S49" s="82"/>
      <c r="T49" s="82"/>
      <c r="U49" s="82"/>
      <c r="V49" s="82"/>
    </row>
    <row r="50" spans="2:22" x14ac:dyDescent="0.3">
      <c r="B50" s="1" t="s">
        <v>134</v>
      </c>
      <c r="E50" s="56">
        <f>INDEX('p&amp;l'!$B$5:$CO$107,MATCH($B50,'p&amp;l'!$A$5:$A$107,0),MATCH(E$6,'p&amp;l'!$B$3:$CO$3,0))</f>
        <v>10.6</v>
      </c>
      <c r="F50" s="56">
        <f>INDEX('p&amp;l'!$B$5:$CO$107,MATCH($B50,'p&amp;l'!$A$5:$A$107,0),MATCH(F$6,'p&amp;l'!$B$3:$CO$3,0))</f>
        <v>13.2</v>
      </c>
      <c r="G50" s="56">
        <f>INDEX('p&amp;l'!$B$5:$CO$107,MATCH($B50,'p&amp;l'!$A$5:$A$107,0),MATCH(G$6,'p&amp;l'!$B$3:$CO$3,0))</f>
        <v>21.9</v>
      </c>
      <c r="H50" s="56">
        <f>INDEX('p&amp;l'!$B$5:$CO$107,MATCH($B50,'p&amp;l'!$A$5:$A$107,0),MATCH(H$6,'p&amp;l'!$B$3:$CO$3,0))</f>
        <v>13.8</v>
      </c>
      <c r="I50" s="56">
        <f>INDEX('p&amp;l'!$B$5:$CO$107,MATCH($B50,'p&amp;l'!$A$5:$A$107,0),MATCH(I$6,'p&amp;l'!$B$3:$CO$3,0))</f>
        <v>29</v>
      </c>
      <c r="J50" s="56">
        <f>INDEX('p&amp;l'!$B$5:$CO$107,MATCH($B50,'p&amp;l'!$A$5:$A$107,0),MATCH(J$6,'p&amp;l'!$B$3:$CO$3,0))</f>
        <v>11.8</v>
      </c>
      <c r="K50" s="56">
        <f>INDEX('p&amp;l'!$B$5:$CO$107,MATCH($B50,'p&amp;l'!$A$5:$A$107,0),MATCH(K$6,'p&amp;l'!$B$3:$CO$3,0))</f>
        <v>28.1</v>
      </c>
      <c r="L50" s="56">
        <f>INDEX('p&amp;l'!$B$5:$CO$107,MATCH($B50,'p&amp;l'!$A$5:$A$107,0),MATCH(L$6,'p&amp;l'!$B$3:$CO$3,0))</f>
        <v>15.7</v>
      </c>
      <c r="M50" s="56">
        <f>INDEX('p&amp;l'!$B$5:$CO$107,MATCH($B50,'p&amp;l'!$A$5:$A$107,0),MATCH(M$6,'p&amp;l'!$B$3:$CO$3,0))</f>
        <v>34.5</v>
      </c>
      <c r="N50" s="56">
        <f>INDEX('p&amp;l'!$B$5:$CO$107,MATCH($B50,'p&amp;l'!$A$5:$A$107,0),MATCH(N$6,'p&amp;l'!$B$3:$CO$3,0))</f>
        <v>27.4</v>
      </c>
      <c r="O50" s="56">
        <f>INDEX('p&amp;l'!$B$5:$CO$107,MATCH($B50,'p&amp;l'!$A$5:$A$107,0),MATCH(O$6,'p&amp;l'!$B$3:$CO$3,0))</f>
        <v>41</v>
      </c>
      <c r="P50" s="28">
        <f>O50*(1+summary!P24)*P7/O7</f>
        <v>57.400000000000006</v>
      </c>
      <c r="Q50" s="28">
        <f>P50*(1+summary!Q24)</f>
        <v>60.27000000000001</v>
      </c>
      <c r="R50" s="28">
        <f>Q50*(1+summary!R24)</f>
        <v>63.283500000000011</v>
      </c>
      <c r="S50" s="28">
        <f>R50*(1+summary!S24)</f>
        <v>66.447675000000018</v>
      </c>
      <c r="T50" s="28">
        <f>S50*(1+summary!T24)</f>
        <v>69.770058750000018</v>
      </c>
      <c r="U50" s="28">
        <f>T50*(1+summary!U24)</f>
        <v>73.25856168750002</v>
      </c>
      <c r="V50" s="28">
        <f>U50*(1+summary!V24)</f>
        <v>76.921489771875031</v>
      </c>
    </row>
    <row r="51" spans="2:22" x14ac:dyDescent="0.3">
      <c r="B51" s="1" t="s">
        <v>33</v>
      </c>
      <c r="E51" s="56">
        <f>INDEX('p&amp;l'!$B$5:$CO$107,MATCH($B51,'p&amp;l'!$A$5:$A$107,0),MATCH(E$6,'p&amp;l'!$B$3:$CO$3,0))</f>
        <v>-0.3</v>
      </c>
      <c r="F51" s="56">
        <f>INDEX('p&amp;l'!$B$5:$CO$107,MATCH($B51,'p&amp;l'!$A$5:$A$107,0),MATCH(F$6,'p&amp;l'!$B$3:$CO$3,0))</f>
        <v>-0.3</v>
      </c>
      <c r="G51" s="56">
        <f>INDEX('p&amp;l'!$B$5:$CO$107,MATCH($B51,'p&amp;l'!$A$5:$A$107,0),MATCH(G$6,'p&amp;l'!$B$3:$CO$3,0))</f>
        <v>-0.4</v>
      </c>
      <c r="H51" s="56">
        <f>INDEX('p&amp;l'!$B$5:$CO$107,MATCH($B51,'p&amp;l'!$A$5:$A$107,0),MATCH(H$6,'p&amp;l'!$B$3:$CO$3,0))</f>
        <v>-0.2</v>
      </c>
      <c r="I51" s="56">
        <f>INDEX('p&amp;l'!$B$5:$CO$107,MATCH($B51,'p&amp;l'!$A$5:$A$107,0),MATCH(I$6,'p&amp;l'!$B$3:$CO$3,0))</f>
        <v>-0.4</v>
      </c>
      <c r="J51" s="56">
        <f>INDEX('p&amp;l'!$B$5:$CO$107,MATCH($B51,'p&amp;l'!$A$5:$A$107,0),MATCH(J$6,'p&amp;l'!$B$3:$CO$3,0))</f>
        <v>-0.2</v>
      </c>
      <c r="K51" s="56">
        <f>INDEX('p&amp;l'!$B$5:$CO$107,MATCH($B51,'p&amp;l'!$A$5:$A$107,0),MATCH(K$6,'p&amp;l'!$B$3:$CO$3,0))</f>
        <v>-0.5</v>
      </c>
      <c r="L51" s="56">
        <f>INDEX('p&amp;l'!$B$5:$CO$107,MATCH($B51,'p&amp;l'!$A$5:$A$107,0),MATCH(L$6,'p&amp;l'!$B$3:$CO$3,0))</f>
        <v>-0.2</v>
      </c>
      <c r="M51" s="56">
        <f>INDEX('p&amp;l'!$B$5:$CO$107,MATCH($B51,'p&amp;l'!$A$5:$A$107,0),MATCH(M$6,'p&amp;l'!$B$3:$CO$3,0))</f>
        <v>-0.6</v>
      </c>
      <c r="N51" s="56">
        <f>INDEX('p&amp;l'!$B$5:$CO$107,MATCH($B51,'p&amp;l'!$A$5:$A$107,0),MATCH(N$6,'p&amp;l'!$B$3:$CO$3,0))</f>
        <v>-0.9</v>
      </c>
      <c r="O51" s="56">
        <f>INDEX('p&amp;l'!$B$5:$CO$107,MATCH($B51,'p&amp;l'!$A$5:$A$107,0),MATCH(O$6,'p&amp;l'!$B$3:$CO$3,0))</f>
        <v>-1.8</v>
      </c>
      <c r="P51" s="28">
        <f>-P50*(1-summary!P25)</f>
        <v>-2.519999999999996</v>
      </c>
      <c r="Q51" s="28">
        <f>-Q50*(1-summary!Q25)</f>
        <v>-2.6459999999999959</v>
      </c>
      <c r="R51" s="28">
        <f>-R50*(1-summary!R25)</f>
        <v>-2.7782999999999958</v>
      </c>
      <c r="S51" s="28">
        <f>-S50*(1-summary!S25)</f>
        <v>-2.9172149999999961</v>
      </c>
      <c r="T51" s="28">
        <f>-T50*(1-summary!T25)</f>
        <v>-3.0630757499999959</v>
      </c>
      <c r="U51" s="28">
        <f>-U50*(1-summary!U25)</f>
        <v>-3.2162295374999954</v>
      </c>
      <c r="V51" s="28">
        <f>-V50*(1-summary!V25)</f>
        <v>-3.3770410143749956</v>
      </c>
    </row>
    <row r="52" spans="2:22" ht="15" thickBot="1" x14ac:dyDescent="0.35">
      <c r="B52" s="17" t="s">
        <v>34</v>
      </c>
      <c r="C52" s="17"/>
      <c r="D52" s="17"/>
      <c r="E52" s="78">
        <f>SUM(E50:E51)</f>
        <v>10.299999999999999</v>
      </c>
      <c r="F52" s="78">
        <f t="shared" ref="F52:H52" si="89">SUM(F50:F51)</f>
        <v>12.899999999999999</v>
      </c>
      <c r="G52" s="78">
        <f t="shared" si="89"/>
        <v>21.5</v>
      </c>
      <c r="H52" s="78">
        <f t="shared" si="89"/>
        <v>13.600000000000001</v>
      </c>
      <c r="I52" s="78">
        <f t="shared" ref="I52:J52" si="90">SUM(I50:I51)</f>
        <v>28.6</v>
      </c>
      <c r="J52" s="78">
        <f t="shared" si="90"/>
        <v>11.600000000000001</v>
      </c>
      <c r="K52" s="78">
        <f t="shared" ref="K52:O52" si="91">SUM(K50:K51)</f>
        <v>27.6</v>
      </c>
      <c r="L52" s="78">
        <f t="shared" si="91"/>
        <v>15.5</v>
      </c>
      <c r="M52" s="78">
        <f t="shared" si="91"/>
        <v>33.9</v>
      </c>
      <c r="N52" s="78">
        <f t="shared" si="91"/>
        <v>26.5</v>
      </c>
      <c r="O52" s="78">
        <f t="shared" si="91"/>
        <v>39.200000000000003</v>
      </c>
      <c r="P52" s="79">
        <f t="shared" ref="P52:U52" si="92">SUM(P50:P51)</f>
        <v>54.88000000000001</v>
      </c>
      <c r="Q52" s="79">
        <f t="shared" si="92"/>
        <v>57.624000000000017</v>
      </c>
      <c r="R52" s="79">
        <f t="shared" si="92"/>
        <v>60.505200000000016</v>
      </c>
      <c r="S52" s="79">
        <f t="shared" si="92"/>
        <v>63.530460000000019</v>
      </c>
      <c r="T52" s="79">
        <f t="shared" si="92"/>
        <v>66.706983000000022</v>
      </c>
      <c r="U52" s="79">
        <f t="shared" si="92"/>
        <v>70.042332150000021</v>
      </c>
      <c r="V52" s="79">
        <f t="shared" ref="V52" si="93">SUM(V50:V51)</f>
        <v>73.544448757500035</v>
      </c>
    </row>
    <row r="53" spans="2:22" ht="15" thickTop="1" x14ac:dyDescent="0.3">
      <c r="B53" s="1" t="s">
        <v>35</v>
      </c>
      <c r="E53" s="56">
        <f>E55-E52-E54</f>
        <v>-4.0999999999999988</v>
      </c>
      <c r="F53" s="56">
        <f t="shared" ref="F53:H53" si="94">F55-F52-F54</f>
        <v>-5.7999999999999989</v>
      </c>
      <c r="G53" s="56">
        <f t="shared" si="94"/>
        <v>-18.100000000000001</v>
      </c>
      <c r="H53" s="56">
        <f t="shared" si="94"/>
        <v>-8.1000000000000014</v>
      </c>
      <c r="I53" s="56">
        <f>I55-I52</f>
        <v>-16.900000000000002</v>
      </c>
      <c r="J53" s="56">
        <f>J55-J52</f>
        <v>-6.9000000000000012</v>
      </c>
      <c r="K53" s="56">
        <f t="shared" ref="K53:O53" si="95">K55-K52</f>
        <v>-17.5</v>
      </c>
      <c r="L53" s="56">
        <f t="shared" si="95"/>
        <v>-9.9</v>
      </c>
      <c r="M53" s="56">
        <f t="shared" si="95"/>
        <v>-21</v>
      </c>
      <c r="N53" s="56">
        <f t="shared" si="95"/>
        <v>-18.8</v>
      </c>
      <c r="O53" s="56">
        <f t="shared" si="95"/>
        <v>-29.1</v>
      </c>
      <c r="P53" s="28">
        <f>-summary!P26</f>
        <v>-40.740000000000009</v>
      </c>
      <c r="Q53" s="28">
        <f>-summary!Q26</f>
        <v>-42.777000000000015</v>
      </c>
      <c r="R53" s="28">
        <f>-summary!R26</f>
        <v>-44.91585000000002</v>
      </c>
      <c r="S53" s="28">
        <f>-summary!S26</f>
        <v>-47.161642500000028</v>
      </c>
      <c r="T53" s="28">
        <f>-summary!T26</f>
        <v>-49.519724625000023</v>
      </c>
      <c r="U53" s="28">
        <f>-summary!U26</f>
        <v>-51.995710856250028</v>
      </c>
      <c r="V53" s="28">
        <f>-summary!V26</f>
        <v>-54.595496399062533</v>
      </c>
    </row>
    <row r="54" spans="2:22" x14ac:dyDescent="0.3">
      <c r="B54" s="1" t="s">
        <v>250</v>
      </c>
      <c r="E54" s="56">
        <f>INDEX('p&amp;l'!$B$5:$CO$107,MATCH($B54,'p&amp;l'!$A$5:$A$107,0),MATCH(E$6,'p&amp;l'!$B$3:$CO$3,0))</f>
        <v>0</v>
      </c>
      <c r="F54" s="56">
        <f>INDEX('p&amp;l'!$B$5:$CO$107,MATCH($B54,'p&amp;l'!$A$5:$A$107,0),MATCH(F$6,'p&amp;l'!$B$3:$CO$3,0))</f>
        <v>0</v>
      </c>
      <c r="G54" s="56">
        <f>INDEX('p&amp;l'!$B$5:$CO$107,MATCH($B54,'p&amp;l'!$A$5:$A$107,0),MATCH(G$6,'p&amp;l'!$B$3:$CO$3,0))</f>
        <v>0</v>
      </c>
      <c r="H54" s="56">
        <f>INDEX('p&amp;l'!$B$5:$CO$107,MATCH($B54,'p&amp;l'!$A$5:$A$107,0),MATCH(H$6,'p&amp;l'!$B$3:$CO$3,0))</f>
        <v>-0.6</v>
      </c>
      <c r="I54" s="56">
        <f>INDEX('p&amp;l'!$B$5:$CO$107,MATCH($B54,'p&amp;l'!$A$5:$A$107,0),MATCH(I$6,'p&amp;l'!$B$3:$CO$3,0))</f>
        <v>0</v>
      </c>
      <c r="J54" s="56">
        <f>INDEX('p&amp;l'!$B$5:$CO$107,MATCH($B54,'p&amp;l'!$A$5:$A$107,0),MATCH(J$6,'p&amp;l'!$B$3:$CO$3,0))</f>
        <v>0</v>
      </c>
      <c r="K54" s="56">
        <f>INDEX('p&amp;l'!$B$5:$CO$107,MATCH($B54,'p&amp;l'!$A$5:$A$107,0),MATCH(K$6,'p&amp;l'!$B$3:$CO$3,0))</f>
        <v>-0.7</v>
      </c>
      <c r="L54" s="56">
        <f>INDEX('p&amp;l'!$B$5:$CO$107,MATCH($B54,'p&amp;l'!$A$5:$A$107,0),MATCH(L$6,'p&amp;l'!$B$3:$CO$3,0))</f>
        <v>-0.2</v>
      </c>
      <c r="M54" s="56">
        <f>INDEX('p&amp;l'!$B$5:$CO$107,MATCH($B54,'p&amp;l'!$A$5:$A$107,0),MATCH(M$6,'p&amp;l'!$B$3:$CO$3,0))</f>
        <v>-0.4</v>
      </c>
      <c r="N54" s="56">
        <f>INDEX('p&amp;l'!$B$5:$CO$107,MATCH($B54,'p&amp;l'!$A$5:$A$107,0),MATCH(N$6,'p&amp;l'!$B$3:$CO$3,0))</f>
        <v>-0.8</v>
      </c>
      <c r="O54" s="56">
        <f>INDEX('p&amp;l'!$B$5:$CO$107,MATCH($B54,'p&amp;l'!$A$5:$A$107,0),MATCH(O$6,'p&amp;l'!$B$3:$CO$3,0))</f>
        <v>-0.8</v>
      </c>
      <c r="P54" s="28"/>
      <c r="Q54" s="28"/>
      <c r="R54" s="28"/>
      <c r="S54" s="28"/>
      <c r="T54" s="28"/>
      <c r="U54" s="28"/>
      <c r="V54" s="28"/>
    </row>
    <row r="55" spans="2:22" ht="15" thickBot="1" x14ac:dyDescent="0.35">
      <c r="B55" s="17" t="s">
        <v>36</v>
      </c>
      <c r="C55" s="17"/>
      <c r="D55" s="17"/>
      <c r="E55" s="78">
        <f>INDEX('p&amp;l'!$B$5:$CO$107,MATCH($B55,'p&amp;l'!$A$5:$A$107,0),MATCH(E$6,'p&amp;l'!$B$3:$CO$3,0))</f>
        <v>6.2</v>
      </c>
      <c r="F55" s="78">
        <f>INDEX('p&amp;l'!$B$5:$CO$107,MATCH($B55,'p&amp;l'!$A$5:$A$107,0),MATCH(F$6,'p&amp;l'!$B$3:$CO$3,0))</f>
        <v>7.1</v>
      </c>
      <c r="G55" s="78">
        <f>INDEX('p&amp;l'!$B$5:$CO$107,MATCH($B55,'p&amp;l'!$A$5:$A$107,0),MATCH(G$6,'p&amp;l'!$B$3:$CO$3,0))</f>
        <v>3.4</v>
      </c>
      <c r="H55" s="78">
        <f>INDEX('p&amp;l'!$B$5:$CO$107,MATCH($B55,'p&amp;l'!$A$5:$A$107,0),MATCH(H$6,'p&amp;l'!$B$3:$CO$3,0))</f>
        <v>4.9000000000000004</v>
      </c>
      <c r="I55" s="78">
        <f>INDEX('p&amp;l'!$B$5:$CO$107,MATCH($B55,'p&amp;l'!$A$5:$A$107,0),MATCH(I$6,'p&amp;l'!$B$3:$CO$3,0))+I54</f>
        <v>11.7</v>
      </c>
      <c r="J55" s="78">
        <f>INDEX('p&amp;l'!$B$5:$CO$107,MATCH($B55,'p&amp;l'!$A$5:$A$107,0),MATCH(J$6,'p&amp;l'!$B$3:$CO$3,0))</f>
        <v>4.7</v>
      </c>
      <c r="K55" s="78">
        <f>INDEX('p&amp;l'!$B$5:$CO$107,MATCH($B55,'p&amp;l'!$A$5:$A$107,0),MATCH(K$6,'p&amp;l'!$B$3:$CO$3,0))</f>
        <v>10.1</v>
      </c>
      <c r="L55" s="78">
        <f>INDEX('p&amp;l'!$B$5:$CO$107,MATCH($B55,'p&amp;l'!$A$5:$A$107,0),MATCH(L$6,'p&amp;l'!$B$3:$CO$3,0))</f>
        <v>5.6</v>
      </c>
      <c r="M55" s="78">
        <f>INDEX('p&amp;l'!$B$5:$CO$107,MATCH($B55,'p&amp;l'!$A$5:$A$107,0),MATCH(M$6,'p&amp;l'!$B$3:$CO$3,0))</f>
        <v>12.9</v>
      </c>
      <c r="N55" s="78">
        <f>INDEX('p&amp;l'!$B$5:$CO$107,MATCH($B55,'p&amp;l'!$A$5:$A$107,0),MATCH(N$6,'p&amp;l'!$B$3:$CO$3,0))</f>
        <v>7.7</v>
      </c>
      <c r="O55" s="78">
        <f>INDEX('p&amp;l'!$B$5:$CO$107,MATCH($B55,'p&amp;l'!$A$5:$A$107,0),MATCH(O$6,'p&amp;l'!$B$3:$CO$3,0))</f>
        <v>10.1</v>
      </c>
      <c r="P55" s="79">
        <f>SUM(P52:P54)</f>
        <v>14.14</v>
      </c>
      <c r="Q55" s="79">
        <f t="shared" ref="Q55:U55" si="96">SUM(Q52:Q54)</f>
        <v>14.847000000000001</v>
      </c>
      <c r="R55" s="79">
        <f t="shared" si="96"/>
        <v>15.589349999999996</v>
      </c>
      <c r="S55" s="79">
        <f t="shared" si="96"/>
        <v>16.368817499999992</v>
      </c>
      <c r="T55" s="79">
        <f t="shared" si="96"/>
        <v>17.187258374999999</v>
      </c>
      <c r="U55" s="79">
        <f t="shared" si="96"/>
        <v>18.046621293749993</v>
      </c>
      <c r="V55" s="79">
        <f t="shared" ref="V55" si="97">SUM(V52:V54)</f>
        <v>18.948952358437502</v>
      </c>
    </row>
    <row r="56" spans="2:22" ht="15" thickTop="1" x14ac:dyDescent="0.3">
      <c r="B56" s="1" t="s">
        <v>37</v>
      </c>
      <c r="E56" s="56">
        <f>E57-E55</f>
        <v>-0.70000000000000018</v>
      </c>
      <c r="F56" s="56">
        <f t="shared" ref="F56:H56" si="98">F57-F55</f>
        <v>-0.89999999999999947</v>
      </c>
      <c r="G56" s="56">
        <f t="shared" si="98"/>
        <v>-1.1999999999999997</v>
      </c>
      <c r="H56" s="56">
        <f t="shared" si="98"/>
        <v>-0.70000000000000018</v>
      </c>
      <c r="I56" s="56">
        <f t="shared" ref="I56:J56" si="99">I57-I55</f>
        <v>-1.2999999999999989</v>
      </c>
      <c r="J56" s="56">
        <f t="shared" si="99"/>
        <v>-1.1000000000000001</v>
      </c>
      <c r="K56" s="56">
        <f t="shared" ref="K56:O56" si="100">K57-K55</f>
        <v>-2.2999999999999998</v>
      </c>
      <c r="L56" s="56">
        <f t="shared" si="100"/>
        <v>-1.1999999999999993</v>
      </c>
      <c r="M56" s="56">
        <f t="shared" si="100"/>
        <v>-2.5</v>
      </c>
      <c r="N56" s="56">
        <f t="shared" si="100"/>
        <v>-1.2999999999999998</v>
      </c>
      <c r="O56" s="56">
        <f t="shared" si="100"/>
        <v>-2</v>
      </c>
      <c r="P56" s="28">
        <f>(O18+O19)*(-summary!P28)</f>
        <v>-2.6</v>
      </c>
      <c r="Q56" s="28">
        <f>(P18+P19)*(-summary!Q28)</f>
        <v>-2.9318844643858668</v>
      </c>
      <c r="R56" s="28">
        <f>(Q18+Q19)*(-summary!R28)</f>
        <v>-3.2298920358945602</v>
      </c>
      <c r="S56" s="28">
        <f>(R18+R19)*(-summary!S28)</f>
        <v>-3.5049466489063383</v>
      </c>
      <c r="T56" s="28">
        <f>(S18+S19)*(-summary!T28)</f>
        <v>-3.7653639897644426</v>
      </c>
      <c r="U56" s="28">
        <f>(T18+T19)*(-summary!U28)</f>
        <v>-4.0175096955622553</v>
      </c>
      <c r="V56" s="28">
        <f>(U18+U19)*(-summary!V28)</f>
        <v>-4.2662933100725615</v>
      </c>
    </row>
    <row r="57" spans="2:22" ht="15" thickBot="1" x14ac:dyDescent="0.35">
      <c r="B57" s="17" t="s">
        <v>38</v>
      </c>
      <c r="C57" s="17"/>
      <c r="D57" s="17"/>
      <c r="E57" s="78">
        <f>INDEX('p&amp;l'!$B$5:$CO$107,MATCH($B57,'p&amp;l'!$A$5:$A$107,0),MATCH(E$6,'p&amp;l'!$B$3:$CO$3,0))</f>
        <v>5.5</v>
      </c>
      <c r="F57" s="78">
        <f>INDEX('p&amp;l'!$B$5:$CO$107,MATCH($B57,'p&amp;l'!$A$5:$A$107,0),MATCH(F$6,'p&amp;l'!$B$3:$CO$3,0))</f>
        <v>6.2</v>
      </c>
      <c r="G57" s="78">
        <f>INDEX('p&amp;l'!$B$5:$CO$107,MATCH($B57,'p&amp;l'!$A$5:$A$107,0),MATCH(G$6,'p&amp;l'!$B$3:$CO$3,0))</f>
        <v>2.2000000000000002</v>
      </c>
      <c r="H57" s="78">
        <f>INDEX('p&amp;l'!$B$5:$CO$107,MATCH($B57,'p&amp;l'!$A$5:$A$107,0),MATCH(H$6,'p&amp;l'!$B$3:$CO$3,0))</f>
        <v>4.2</v>
      </c>
      <c r="I57" s="78">
        <f>INDEX('p&amp;l'!$B$5:$CO$107,MATCH($B57,'p&amp;l'!$A$5:$A$107,0),MATCH(I$6,'p&amp;l'!$B$3:$CO$3,0))+I54</f>
        <v>10.4</v>
      </c>
      <c r="J57" s="78">
        <f>INDEX('p&amp;l'!$B$5:$CO$107,MATCH($B57,'p&amp;l'!$A$5:$A$107,0),MATCH(J$6,'p&amp;l'!$B$3:$CO$3,0))+J54</f>
        <v>3.6</v>
      </c>
      <c r="K57" s="78">
        <f>INDEX('p&amp;l'!$B$5:$CO$107,MATCH($B57,'p&amp;l'!$A$5:$A$107,0),MATCH(K$6,'p&amp;l'!$B$3:$CO$3,0))</f>
        <v>7.8</v>
      </c>
      <c r="L57" s="78">
        <f>INDEX('p&amp;l'!$B$5:$CO$107,MATCH($B57,'p&amp;l'!$A$5:$A$107,0),MATCH(L$6,'p&amp;l'!$B$3:$CO$3,0))</f>
        <v>4.4000000000000004</v>
      </c>
      <c r="M57" s="78">
        <f>INDEX('p&amp;l'!$B$5:$CO$107,MATCH($B57,'p&amp;l'!$A$5:$A$107,0),MATCH(M$6,'p&amp;l'!$B$3:$CO$3,0))</f>
        <v>10.4</v>
      </c>
      <c r="N57" s="78">
        <f>INDEX('p&amp;l'!$B$5:$CO$107,MATCH($B57,'p&amp;l'!$A$5:$A$107,0),MATCH(N$6,'p&amp;l'!$B$3:$CO$3,0))</f>
        <v>6.4</v>
      </c>
      <c r="O57" s="78">
        <f>INDEX('p&amp;l'!$B$5:$CO$107,MATCH($B57,'p&amp;l'!$A$5:$A$107,0),MATCH(O$6,'p&amp;l'!$B$3:$CO$3,0))</f>
        <v>8.1</v>
      </c>
      <c r="P57" s="79">
        <f t="shared" ref="P57:U57" si="101">SUM(P55:P56)</f>
        <v>11.540000000000001</v>
      </c>
      <c r="Q57" s="79">
        <f t="shared" si="101"/>
        <v>11.915115535614135</v>
      </c>
      <c r="R57" s="79">
        <f t="shared" si="101"/>
        <v>12.359457964105436</v>
      </c>
      <c r="S57" s="79">
        <f t="shared" si="101"/>
        <v>12.863870851093653</v>
      </c>
      <c r="T57" s="79">
        <f t="shared" si="101"/>
        <v>13.421894385235557</v>
      </c>
      <c r="U57" s="79">
        <f t="shared" si="101"/>
        <v>14.029111598187738</v>
      </c>
      <c r="V57" s="79">
        <f t="shared" ref="V57" si="102">SUM(V55:V56)</f>
        <v>14.68265904836494</v>
      </c>
    </row>
    <row r="58" spans="2:22" ht="15" thickTop="1" x14ac:dyDescent="0.3">
      <c r="B58" s="1" t="s">
        <v>249</v>
      </c>
      <c r="E58" s="56">
        <f>INDEX('p&amp;l'!$B$5:$CO$107,MATCH($B58,'p&amp;l'!$A$5:$A$107,0),MATCH(E$6,'p&amp;l'!$B$3:$CO$3,0))</f>
        <v>-0.1</v>
      </c>
      <c r="F58" s="56">
        <f>INDEX('p&amp;l'!$B$5:$CO$107,MATCH($B58,'p&amp;l'!$A$5:$A$107,0),MATCH(F$6,'p&amp;l'!$B$3:$CO$3,0))</f>
        <v>0</v>
      </c>
      <c r="G58" s="56">
        <f>INDEX('p&amp;l'!$B$5:$CO$107,MATCH($B58,'p&amp;l'!$A$5:$A$107,0),MATCH(G$6,'p&amp;l'!$B$3:$CO$3,0))</f>
        <v>-0.1</v>
      </c>
      <c r="H58" s="56">
        <f>INDEX('p&amp;l'!$B$5:$CO$107,MATCH($B58,'p&amp;l'!$A$5:$A$107,0),MATCH(H$6,'p&amp;l'!$B$3:$CO$3,0))</f>
        <v>-0.1</v>
      </c>
      <c r="I58" s="56">
        <f>INDEX('p&amp;l'!$B$5:$CO$107,MATCH($B58,'p&amp;l'!$A$5:$A$107,0),MATCH(I$6,'p&amp;l'!$B$3:$CO$3,0))</f>
        <v>-0.1</v>
      </c>
      <c r="J58" s="56">
        <f>INDEX('p&amp;l'!$B$5:$CO$107,MATCH($B58,'p&amp;l'!$A$5:$A$107,0),MATCH(J$6,'p&amp;l'!$B$3:$CO$3,0))</f>
        <v>-0.2</v>
      </c>
      <c r="K58" s="56">
        <f>INDEX('p&amp;l'!$B$5:$CO$107,MATCH($B58,'p&amp;l'!$A$5:$A$107,0),MATCH(K$6,'p&amp;l'!$B$3:$CO$3,0))</f>
        <v>-0.4</v>
      </c>
      <c r="L58" s="56">
        <f>INDEX('p&amp;l'!$B$5:$CO$107,MATCH($B58,'p&amp;l'!$A$5:$A$107,0),MATCH(L$6,'p&amp;l'!$B$3:$CO$3,0))</f>
        <v>-0.2</v>
      </c>
      <c r="M58" s="56">
        <f>INDEX('p&amp;l'!$B$5:$CO$107,MATCH($B58,'p&amp;l'!$A$5:$A$107,0),MATCH(M$6,'p&amp;l'!$B$3:$CO$3,0))</f>
        <v>-0.4</v>
      </c>
      <c r="N58" s="56">
        <f>INDEX('p&amp;l'!$B$5:$CO$107,MATCH($B58,'p&amp;l'!$A$5:$A$107,0),MATCH(N$6,'p&amp;l'!$B$3:$CO$3,0))</f>
        <v>-0.2</v>
      </c>
      <c r="O58" s="56">
        <f>INDEX('p&amp;l'!$B$5:$CO$107,MATCH($B58,'p&amp;l'!$A$5:$A$107,0),MATCH(O$6,'p&amp;l'!$B$3:$CO$3,0))</f>
        <v>-0.3</v>
      </c>
      <c r="P58" s="28">
        <f>-SUM(P28:P28,P26:P26)/2*summary!AP29</f>
        <v>0</v>
      </c>
      <c r="Q58" s="28">
        <f>-SUM(P28:Q28,P26:Q26)/2*summary!AQ29</f>
        <v>0</v>
      </c>
      <c r="R58" s="28">
        <f>-SUM(Q28:R28,Q26:R26)/2*summary!AR29</f>
        <v>0</v>
      </c>
      <c r="S58" s="28">
        <f>-SUM(R28:S28,R26:S26)/2*summary!AS29</f>
        <v>0</v>
      </c>
      <c r="T58" s="28">
        <f>-SUM(S28:T28,S26:T26)/2*summary!AT29</f>
        <v>0</v>
      </c>
      <c r="U58" s="28">
        <f>-SUM(T28:U28,T26:U26)/2*summary!AU29</f>
        <v>0</v>
      </c>
      <c r="V58" s="28">
        <f>-SUM(U28:V28,U26:V26)/2*summary!AV29</f>
        <v>0</v>
      </c>
    </row>
    <row r="59" spans="2:22" ht="15" thickBot="1" x14ac:dyDescent="0.35">
      <c r="B59" s="17" t="s">
        <v>39</v>
      </c>
      <c r="C59" s="17"/>
      <c r="D59" s="17"/>
      <c r="E59" s="78">
        <f t="shared" ref="E59:H59" si="103">SUM(E57:E58)</f>
        <v>5.4</v>
      </c>
      <c r="F59" s="78">
        <f t="shared" si="103"/>
        <v>6.2</v>
      </c>
      <c r="G59" s="78">
        <f t="shared" si="103"/>
        <v>2.1</v>
      </c>
      <c r="H59" s="78">
        <f t="shared" si="103"/>
        <v>4.1000000000000005</v>
      </c>
      <c r="I59" s="78">
        <f t="shared" ref="I59:J59" si="104">SUM(I57:I58)</f>
        <v>10.3</v>
      </c>
      <c r="J59" s="78">
        <f t="shared" si="104"/>
        <v>3.4</v>
      </c>
      <c r="K59" s="78">
        <f t="shared" ref="K59:O59" si="105">SUM(K57:K58)</f>
        <v>7.3999999999999995</v>
      </c>
      <c r="L59" s="78">
        <f t="shared" si="105"/>
        <v>4.2</v>
      </c>
      <c r="M59" s="78">
        <f t="shared" si="105"/>
        <v>10</v>
      </c>
      <c r="N59" s="78">
        <f t="shared" si="105"/>
        <v>6.2</v>
      </c>
      <c r="O59" s="78">
        <f t="shared" si="105"/>
        <v>7.8</v>
      </c>
      <c r="P59" s="79">
        <f t="shared" ref="P59:U59" si="106">SUM(P57:P58)</f>
        <v>11.540000000000001</v>
      </c>
      <c r="Q59" s="79">
        <f t="shared" si="106"/>
        <v>11.915115535614135</v>
      </c>
      <c r="R59" s="79">
        <f t="shared" si="106"/>
        <v>12.359457964105436</v>
      </c>
      <c r="S59" s="79">
        <f t="shared" si="106"/>
        <v>12.863870851093653</v>
      </c>
      <c r="T59" s="79">
        <f t="shared" si="106"/>
        <v>13.421894385235557</v>
      </c>
      <c r="U59" s="79">
        <f t="shared" si="106"/>
        <v>14.029111598187738</v>
      </c>
      <c r="V59" s="79">
        <f t="shared" ref="V59" si="107">SUM(V57:V58)</f>
        <v>14.68265904836494</v>
      </c>
    </row>
    <row r="60" spans="2:22" ht="15" thickTop="1" x14ac:dyDescent="0.3">
      <c r="B60" s="1" t="s">
        <v>251</v>
      </c>
      <c r="E60" s="56">
        <f>INDEX('p&amp;l'!$B$5:$CO$107,MATCH($B60,'p&amp;l'!$A$5:$A$107,0),MATCH(E$6,'p&amp;l'!$B$3:$CO$3,0))</f>
        <v>0</v>
      </c>
      <c r="F60" s="56">
        <f>INDEX('p&amp;l'!$B$5:$CO$107,MATCH($B60,'p&amp;l'!$A$5:$A$107,0),MATCH(F$6,'p&amp;l'!$B$3:$CO$3,0))</f>
        <v>0</v>
      </c>
      <c r="G60" s="56">
        <f>INDEX('p&amp;l'!$B$5:$CO$107,MATCH($B60,'p&amp;l'!$A$5:$A$107,0),MATCH(G$6,'p&amp;l'!$B$3:$CO$3,0))</f>
        <v>0</v>
      </c>
      <c r="H60" s="56">
        <f>INDEX('p&amp;l'!$B$5:$CO$107,MATCH($B60,'p&amp;l'!$A$5:$A$107,0),MATCH(H$6,'p&amp;l'!$B$3:$CO$3,0))</f>
        <v>-0.9</v>
      </c>
      <c r="I60" s="56">
        <f>INDEX('p&amp;l'!$B$5:$CO$107,MATCH($B60,'p&amp;l'!$A$5:$A$107,0),MATCH(I$6,'p&amp;l'!$B$3:$CO$3,0))</f>
        <v>-2.1</v>
      </c>
      <c r="J60" s="56">
        <f>INDEX('p&amp;l'!$B$5:$CO$107,MATCH($B60,'p&amp;l'!$A$5:$A$107,0),MATCH(J$6,'p&amp;l'!$B$3:$CO$3,0))</f>
        <v>-0.7</v>
      </c>
      <c r="K60" s="56">
        <f>INDEX('p&amp;l'!$B$5:$CO$107,MATCH($B60,'p&amp;l'!$A$5:$A$107,0),MATCH(K$6,'p&amp;l'!$B$3:$CO$3,0))</f>
        <v>-1.5</v>
      </c>
      <c r="L60" s="56">
        <f>INDEX('p&amp;l'!$B$5:$CO$107,MATCH($B60,'p&amp;l'!$A$5:$A$107,0),MATCH(L$6,'p&amp;l'!$B$3:$CO$3,0))</f>
        <v>-0.9</v>
      </c>
      <c r="M60" s="56">
        <f>INDEX('p&amp;l'!$B$5:$CO$107,MATCH($B60,'p&amp;l'!$A$5:$A$107,0),MATCH(M$6,'p&amp;l'!$B$3:$CO$3,0))</f>
        <v>-2.6</v>
      </c>
      <c r="N60" s="56">
        <f>INDEX('p&amp;l'!$B$5:$CO$107,MATCH($B60,'p&amp;l'!$A$5:$A$107,0),MATCH(N$6,'p&amp;l'!$B$3:$CO$3,0))</f>
        <v>-1.1000000000000001</v>
      </c>
      <c r="O60" s="56">
        <f>INDEX('p&amp;l'!$B$5:$CO$107,MATCH($B60,'p&amp;l'!$A$5:$A$107,0),MATCH(O$6,'p&amp;l'!$B$3:$CO$3,0))</f>
        <v>-0.8</v>
      </c>
      <c r="P60" s="28">
        <f>-P59*summary!P30</f>
        <v>-2.8850000000000002</v>
      </c>
      <c r="Q60" s="28">
        <f>-Q59*summary!Q30</f>
        <v>-2.9787788839035336</v>
      </c>
      <c r="R60" s="28">
        <f>-R59*summary!R30</f>
        <v>-3.0898644910263591</v>
      </c>
      <c r="S60" s="28">
        <f>-S59*summary!S30</f>
        <v>-3.2159677127734132</v>
      </c>
      <c r="T60" s="28">
        <f>-T59*summary!T30</f>
        <v>-3.3554735963088893</v>
      </c>
      <c r="U60" s="28">
        <f>-U59*summary!U30</f>
        <v>-3.5072778995469345</v>
      </c>
      <c r="V60" s="28">
        <f>-V59*summary!V30</f>
        <v>-3.6706647620912349</v>
      </c>
    </row>
    <row r="61" spans="2:22" ht="15" thickBot="1" x14ac:dyDescent="0.35">
      <c r="B61" s="17" t="s">
        <v>41</v>
      </c>
      <c r="C61" s="17"/>
      <c r="D61" s="17"/>
      <c r="E61" s="78">
        <f t="shared" ref="E61:H61" si="108">SUM(E59:E60)</f>
        <v>5.4</v>
      </c>
      <c r="F61" s="78">
        <f t="shared" si="108"/>
        <v>6.2</v>
      </c>
      <c r="G61" s="78">
        <f t="shared" si="108"/>
        <v>2.1</v>
      </c>
      <c r="H61" s="78">
        <f t="shared" si="108"/>
        <v>3.2000000000000006</v>
      </c>
      <c r="I61" s="78">
        <f t="shared" ref="I61:J61" si="109">SUM(I59:I60)</f>
        <v>8.2000000000000011</v>
      </c>
      <c r="J61" s="78">
        <f t="shared" si="109"/>
        <v>2.7</v>
      </c>
      <c r="K61" s="78">
        <f t="shared" ref="K61:O61" si="110">SUM(K59:K60)</f>
        <v>5.8999999999999995</v>
      </c>
      <c r="L61" s="78">
        <f t="shared" si="110"/>
        <v>3.3000000000000003</v>
      </c>
      <c r="M61" s="78">
        <f t="shared" si="110"/>
        <v>7.4</v>
      </c>
      <c r="N61" s="78">
        <f t="shared" si="110"/>
        <v>5.0999999999999996</v>
      </c>
      <c r="O61" s="78">
        <f t="shared" si="110"/>
        <v>7</v>
      </c>
      <c r="P61" s="79">
        <f t="shared" ref="P61:U61" si="111">SUM(P59:P60)</f>
        <v>8.6550000000000011</v>
      </c>
      <c r="Q61" s="79">
        <f t="shared" si="111"/>
        <v>8.9363366517106009</v>
      </c>
      <c r="R61" s="79">
        <f t="shared" si="111"/>
        <v>9.2695934730790768</v>
      </c>
      <c r="S61" s="79">
        <f t="shared" si="111"/>
        <v>9.64790313832024</v>
      </c>
      <c r="T61" s="79">
        <f t="shared" si="111"/>
        <v>10.066420788926667</v>
      </c>
      <c r="U61" s="79">
        <f t="shared" si="111"/>
        <v>10.521833698640803</v>
      </c>
      <c r="V61" s="79">
        <f t="shared" ref="V61" si="112">SUM(V59:V60)</f>
        <v>11.011994286273705</v>
      </c>
    </row>
    <row r="62" spans="2:22" ht="15" thickTop="1" x14ac:dyDescent="0.3"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28"/>
      <c r="Q62" s="28"/>
      <c r="R62" s="28"/>
      <c r="S62" s="28"/>
      <c r="T62" s="28"/>
      <c r="U62" s="28"/>
      <c r="V62" s="28"/>
    </row>
    <row r="63" spans="2:22" x14ac:dyDescent="0.3">
      <c r="B63" s="1" t="s">
        <v>269</v>
      </c>
      <c r="E63" s="56">
        <f>INDEX('p&amp;l'!$B$5:$CO$107,MATCH($B63,'p&amp;l'!$A$5:$A$107,0),MATCH(E$6,'p&amp;l'!$B$3:$CO$3,0))</f>
        <v>113.2</v>
      </c>
      <c r="F63" s="56">
        <f>INDEX('p&amp;l'!$B$5:$CO$107,MATCH($B63,'p&amp;l'!$A$5:$A$107,0),MATCH(F$6,'p&amp;l'!$B$3:$CO$3,0))</f>
        <v>113.2</v>
      </c>
      <c r="G63" s="56">
        <f>INDEX('p&amp;l'!$B$5:$CO$107,MATCH($B63,'p&amp;l'!$A$5:$A$107,0),MATCH(G$6,'p&amp;l'!$B$3:$CO$3,0))</f>
        <v>113.2</v>
      </c>
      <c r="H63" s="56">
        <f>INDEX('p&amp;l'!$B$5:$CO$107,MATCH($B63,'p&amp;l'!$A$5:$A$107,0),MATCH(H$6,'p&amp;l'!$B$3:$CO$3,0))</f>
        <v>113.2</v>
      </c>
      <c r="I63" s="56">
        <f>INDEX('p&amp;l'!$B$5:$CO$107,MATCH($B63,'p&amp;l'!$A$5:$A$107,0),MATCH(I$6,'p&amp;l'!$B$3:$CO$3,0))</f>
        <v>113.2</v>
      </c>
      <c r="J63" s="56">
        <f>INDEX('p&amp;l'!$B$5:$CO$107,MATCH($B63,'p&amp;l'!$A$5:$A$107,0),MATCH(J$6,'p&amp;l'!$B$3:$CO$3,0))</f>
        <v>113.2</v>
      </c>
      <c r="K63" s="56">
        <f>INDEX('p&amp;l'!$B$5:$CO$107,MATCH($B63,'p&amp;l'!$A$5:$A$107,0),MATCH(K$6,'p&amp;l'!$B$3:$CO$3,0))</f>
        <v>113.2</v>
      </c>
      <c r="L63" s="56">
        <f>INDEX('p&amp;l'!$B$5:$CO$107,MATCH($B63,'p&amp;l'!$A$5:$A$107,0),MATCH(L$6,'p&amp;l'!$B$3:$CO$3,0))</f>
        <v>113.2</v>
      </c>
      <c r="M63" s="56">
        <f>INDEX('p&amp;l'!$B$5:$CO$107,MATCH($B63,'p&amp;l'!$A$5:$A$107,0),MATCH(M$6,'p&amp;l'!$B$3:$CO$3,0))</f>
        <v>113.2</v>
      </c>
      <c r="N63" s="56">
        <f>INDEX('p&amp;l'!$B$5:$CO$107,MATCH($B63,'p&amp;l'!$A$5:$A$107,0),MATCH(N$6,'p&amp;l'!$B$3:$CO$3,0))</f>
        <v>113.2</v>
      </c>
      <c r="O63" s="56">
        <f>INDEX('p&amp;l'!$B$5:$CO$107,MATCH($B63,'p&amp;l'!$A$5:$A$107,0),MATCH(O$6,'p&amp;l'!$B$3:$CO$3,0))</f>
        <v>113.2</v>
      </c>
      <c r="P63" s="28"/>
      <c r="Q63" s="28"/>
      <c r="R63" s="28"/>
      <c r="S63" s="28"/>
      <c r="T63" s="28"/>
      <c r="U63" s="28"/>
      <c r="V63" s="28"/>
    </row>
    <row r="64" spans="2:22" x14ac:dyDescent="0.3">
      <c r="B64" s="1" t="s">
        <v>296</v>
      </c>
      <c r="E64" s="56">
        <f>E61/E63*100</f>
        <v>4.7703180212014136</v>
      </c>
      <c r="F64" s="56">
        <f t="shared" ref="F64:H64" si="113">F61/F63*100</f>
        <v>5.4770318021201412</v>
      </c>
      <c r="G64" s="56">
        <f t="shared" si="113"/>
        <v>1.8551236749116609</v>
      </c>
      <c r="H64" s="56">
        <f t="shared" si="113"/>
        <v>2.8268551236749118</v>
      </c>
      <c r="I64" s="56">
        <f t="shared" ref="I64:J64" si="114">I61/I63*100</f>
        <v>7.2438162544169611</v>
      </c>
      <c r="J64" s="56">
        <f t="shared" si="114"/>
        <v>2.3851590106007068</v>
      </c>
      <c r="K64" s="56">
        <f t="shared" ref="K64:O64" si="115">K61/K63*100</f>
        <v>5.2120141342756181</v>
      </c>
      <c r="L64" s="56">
        <f t="shared" si="115"/>
        <v>2.9151943462897529</v>
      </c>
      <c r="M64" s="56">
        <f t="shared" si="115"/>
        <v>6.5371024734982335</v>
      </c>
      <c r="N64" s="56">
        <f t="shared" si="115"/>
        <v>4.5053003533568896</v>
      </c>
      <c r="O64" s="56">
        <f t="shared" si="115"/>
        <v>6.1837455830388688</v>
      </c>
      <c r="P64" s="28">
        <f>O64/O61*P61</f>
        <v>7.6457597173144878</v>
      </c>
      <c r="Q64" s="28">
        <f>P64/P61*Q61</f>
        <v>7.8942903283662549</v>
      </c>
      <c r="R64" s="28">
        <f t="shared" ref="R64:V64" si="116">Q64/Q61*R61</f>
        <v>8.1886868136740958</v>
      </c>
      <c r="S64" s="28">
        <f t="shared" si="116"/>
        <v>8.522882631024947</v>
      </c>
      <c r="T64" s="28">
        <f t="shared" si="116"/>
        <v>8.8925978700765604</v>
      </c>
      <c r="U64" s="28">
        <f t="shared" si="116"/>
        <v>9.2949060942056558</v>
      </c>
      <c r="V64" s="28">
        <f t="shared" si="116"/>
        <v>9.7279101468848985</v>
      </c>
    </row>
    <row r="65" spans="2:22" x14ac:dyDescent="0.3">
      <c r="B65" s="1" t="s">
        <v>270</v>
      </c>
      <c r="E65" s="56">
        <f>INDEX('p&amp;l'!$B$5:$CO$107,MATCH($B65,'p&amp;l'!$A$5:$A$107,0),MATCH(E$6,'p&amp;l'!$B$3:$CO$3,0))</f>
        <v>113.2</v>
      </c>
      <c r="F65" s="56">
        <f>INDEX('p&amp;l'!$B$5:$CO$107,MATCH($B65,'p&amp;l'!$A$5:$A$107,0),MATCH(F$6,'p&amp;l'!$B$3:$CO$3,0))</f>
        <v>113.2</v>
      </c>
      <c r="G65" s="56">
        <f>INDEX('p&amp;l'!$B$5:$CO$107,MATCH($B65,'p&amp;l'!$A$5:$A$107,0),MATCH(G$6,'p&amp;l'!$B$3:$CO$3,0))</f>
        <v>113.2</v>
      </c>
      <c r="H65" s="56">
        <f>INDEX('p&amp;l'!$B$5:$CO$107,MATCH($B65,'p&amp;l'!$A$5:$A$107,0),MATCH(H$6,'p&amp;l'!$B$3:$CO$3,0))</f>
        <v>113.5</v>
      </c>
      <c r="I65" s="56">
        <f>INDEX('p&amp;l'!$B$5:$CO$107,MATCH($B65,'p&amp;l'!$A$5:$A$107,0),MATCH(I$6,'p&amp;l'!$B$3:$CO$3,0))</f>
        <v>113.4</v>
      </c>
      <c r="J65" s="56">
        <f>INDEX('p&amp;l'!$B$5:$CO$107,MATCH($B65,'p&amp;l'!$A$5:$A$107,0),MATCH(J$6,'p&amp;l'!$B$3:$CO$3,0))</f>
        <v>113.3</v>
      </c>
      <c r="K65" s="56">
        <f>INDEX('p&amp;l'!$B$5:$CO$107,MATCH($B65,'p&amp;l'!$A$5:$A$107,0),MATCH(K$6,'p&amp;l'!$B$3:$CO$3,0))</f>
        <v>113.3</v>
      </c>
      <c r="L65" s="56">
        <f>INDEX('p&amp;l'!$B$5:$CO$107,MATCH($B65,'p&amp;l'!$A$5:$A$107,0),MATCH(L$6,'p&amp;l'!$B$3:$CO$3,0))</f>
        <v>113.3</v>
      </c>
      <c r="M65" s="56">
        <f>INDEX('p&amp;l'!$B$5:$CO$107,MATCH($B65,'p&amp;l'!$A$5:$A$107,0),MATCH(M$6,'p&amp;l'!$B$3:$CO$3,0))</f>
        <v>113.4</v>
      </c>
      <c r="N65" s="56">
        <f>INDEX('p&amp;l'!$B$5:$CO$107,MATCH($B65,'p&amp;l'!$A$5:$A$107,0),MATCH(N$6,'p&amp;l'!$B$3:$CO$3,0))</f>
        <v>113.3</v>
      </c>
      <c r="O65" s="56">
        <f>INDEX('p&amp;l'!$B$5:$CO$107,MATCH($B65,'p&amp;l'!$A$5:$A$107,0),MATCH(O$6,'p&amp;l'!$B$3:$CO$3,0))</f>
        <v>113.3</v>
      </c>
      <c r="P65" s="82"/>
      <c r="Q65" s="82"/>
      <c r="R65" s="82"/>
      <c r="S65" s="82"/>
      <c r="T65" s="82"/>
      <c r="U65" s="82"/>
      <c r="V65" s="82"/>
    </row>
    <row r="66" spans="2:22" x14ac:dyDescent="0.3">
      <c r="B66" s="1" t="s">
        <v>297</v>
      </c>
      <c r="E66" s="56">
        <f>E61/E65*100</f>
        <v>4.7703180212014136</v>
      </c>
      <c r="F66" s="56">
        <f t="shared" ref="F66:G66" si="117">F61/F65*100</f>
        <v>5.4770318021201412</v>
      </c>
      <c r="G66" s="56">
        <f t="shared" si="117"/>
        <v>1.8551236749116609</v>
      </c>
      <c r="H66" s="56">
        <f>H61/H65*100</f>
        <v>2.8193832599118949</v>
      </c>
      <c r="I66" s="56">
        <f t="shared" ref="I66:J66" si="118">I61/I65*100</f>
        <v>7.2310405643738989</v>
      </c>
      <c r="J66" s="56">
        <f t="shared" si="118"/>
        <v>2.3830538393645191</v>
      </c>
      <c r="K66" s="56">
        <f t="shared" ref="K66:O66" si="119">K61/K65*100</f>
        <v>5.2074139452780228</v>
      </c>
      <c r="L66" s="56">
        <f t="shared" si="119"/>
        <v>2.9126213592233015</v>
      </c>
      <c r="M66" s="56">
        <f t="shared" si="119"/>
        <v>6.5255731922398583</v>
      </c>
      <c r="N66" s="56">
        <f t="shared" si="119"/>
        <v>4.5013239187996472</v>
      </c>
      <c r="O66" s="56">
        <f t="shared" si="119"/>
        <v>6.1782877316857903</v>
      </c>
      <c r="P66" s="28">
        <f>O66/O61*P61</f>
        <v>7.639011473962932</v>
      </c>
      <c r="Q66" s="28">
        <f t="shared" ref="Q66:V66" si="120">P66/P61*Q61</f>
        <v>7.8873227287825252</v>
      </c>
      <c r="R66" s="28">
        <f t="shared" si="120"/>
        <v>8.1814593760627332</v>
      </c>
      <c r="S66" s="28">
        <f t="shared" si="120"/>
        <v>8.5153602279966805</v>
      </c>
      <c r="T66" s="28">
        <f t="shared" si="120"/>
        <v>8.8847491517446304</v>
      </c>
      <c r="U66" s="28">
        <f t="shared" si="120"/>
        <v>9.286702293592942</v>
      </c>
      <c r="V66" s="28">
        <f t="shared" si="120"/>
        <v>9.7193241714684078</v>
      </c>
    </row>
    <row r="67" spans="2:22" x14ac:dyDescent="0.3">
      <c r="E67" s="80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2"/>
      <c r="Q67" s="82"/>
      <c r="R67" s="82"/>
      <c r="S67" s="82"/>
      <c r="T67" s="82"/>
      <c r="U67" s="82"/>
      <c r="V67" s="82"/>
    </row>
    <row r="68" spans="2:22" x14ac:dyDescent="0.3">
      <c r="B68" s="21" t="s">
        <v>42</v>
      </c>
      <c r="D68" s="70" t="s">
        <v>137</v>
      </c>
      <c r="E68" s="84">
        <f>INDEX('p&amp;l'!$B$5:$CO$107,MATCH($D68,'p&amp;l'!$A$5:$A$107,0),MATCH(E$6,'p&amp;l'!$B$3:$CO$3,0))</f>
        <v>5.4</v>
      </c>
      <c r="F68" s="84">
        <f>INDEX('p&amp;l'!$B$5:$CO$107,MATCH($D68,'p&amp;l'!$A$5:$A$107,0),MATCH(F$6,'p&amp;l'!$B$3:$CO$3,0))</f>
        <v>6.2</v>
      </c>
      <c r="G68" s="84">
        <f>INDEX('p&amp;l'!$B$5:$CO$107,MATCH($D68,'p&amp;l'!$A$5:$A$107,0),MATCH(G$6,'p&amp;l'!$B$3:$CO$3,0))</f>
        <v>2.1</v>
      </c>
      <c r="H68" s="84">
        <f>INDEX('p&amp;l'!$B$5:$CO$107,MATCH($D68,'p&amp;l'!$A$5:$A$107,0),MATCH(H$6,'p&amp;l'!$B$3:$CO$3,0))</f>
        <v>3.2</v>
      </c>
      <c r="I68" s="84">
        <f>INDEX('p&amp;l'!$B$5:$CO$107,MATCH($D68,'p&amp;l'!$A$5:$A$107,0),MATCH(I$6,'p&amp;l'!$B$3:$CO$3,0))</f>
        <v>8.1</v>
      </c>
      <c r="J68" s="84">
        <f>INDEX('p&amp;l'!$B$5:$CO$107,MATCH($D68,'p&amp;l'!$A$5:$A$107,0),MATCH(J$6,'p&amp;l'!$B$3:$CO$3,0))</f>
        <v>2.7</v>
      </c>
      <c r="K68" s="84">
        <f>INDEX('p&amp;l'!$B$5:$CO$107,MATCH($D68,'p&amp;l'!$A$5:$A$107,0),MATCH(K$6,'p&amp;l'!$B$3:$CO$3,0))</f>
        <v>5.9</v>
      </c>
      <c r="L68" s="84">
        <f>INDEX('p&amp;l'!$B$5:$CO$107,MATCH($D68,'p&amp;l'!$A$5:$A$107,0),MATCH(L$6,'p&amp;l'!$B$3:$CO$3,0))</f>
        <v>3.3</v>
      </c>
      <c r="M68" s="84">
        <f>INDEX('p&amp;l'!$B$5:$CO$107,MATCH($D68,'p&amp;l'!$A$5:$A$107,0),MATCH(M$6,'p&amp;l'!$B$3:$CO$3,0))</f>
        <v>7.4</v>
      </c>
      <c r="N68" s="84">
        <f>INDEX('p&amp;l'!$B$5:$CO$107,MATCH($D68,'p&amp;l'!$A$5:$A$107,0),MATCH(N$6,'p&amp;l'!$B$3:$CO$3,0))</f>
        <v>5.0999999999999996</v>
      </c>
      <c r="O68" s="84">
        <f>INDEX('p&amp;l'!$B$5:$CO$107,MATCH($D68,'p&amp;l'!$A$5:$A$107,0),MATCH(O$6,'p&amp;l'!$B$3:$CO$3,0))</f>
        <v>7</v>
      </c>
      <c r="P68" s="84"/>
      <c r="Q68" s="84"/>
      <c r="R68" s="84"/>
      <c r="S68" s="84"/>
      <c r="T68" s="84"/>
      <c r="U68" s="84"/>
      <c r="V68" s="84"/>
    </row>
    <row r="69" spans="2:22" x14ac:dyDescent="0.3">
      <c r="B69" s="21" t="s">
        <v>24</v>
      </c>
      <c r="E69" s="57">
        <f t="shared" ref="E69" si="121">ROUND(E68-E61,0)</f>
        <v>0</v>
      </c>
      <c r="F69" s="57">
        <f>ROUND(F68-F61,0)</f>
        <v>0</v>
      </c>
      <c r="G69" s="57">
        <f t="shared" ref="G69:H69" si="122">ROUND(G68-G61,0)</f>
        <v>0</v>
      </c>
      <c r="H69" s="57">
        <f t="shared" si="122"/>
        <v>0</v>
      </c>
      <c r="I69" s="57">
        <f t="shared" ref="I69:J69" si="123">ROUND(I68-I61,0)</f>
        <v>0</v>
      </c>
      <c r="J69" s="57">
        <f t="shared" si="123"/>
        <v>0</v>
      </c>
      <c r="K69" s="57">
        <f t="shared" ref="K69:O69" si="124">ROUND(K68-K61,0)</f>
        <v>0</v>
      </c>
      <c r="L69" s="57">
        <f t="shared" si="124"/>
        <v>0</v>
      </c>
      <c r="M69" s="57">
        <f t="shared" si="124"/>
        <v>0</v>
      </c>
      <c r="N69" s="57">
        <f t="shared" si="124"/>
        <v>0</v>
      </c>
      <c r="O69" s="57">
        <f t="shared" si="124"/>
        <v>0</v>
      </c>
      <c r="P69" s="30"/>
      <c r="Q69" s="30"/>
      <c r="R69" s="30"/>
      <c r="S69" s="30"/>
      <c r="T69" s="30"/>
      <c r="U69" s="30"/>
      <c r="V69" s="30"/>
    </row>
    <row r="70" spans="2:22" x14ac:dyDescent="0.3"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82"/>
      <c r="R70" s="82"/>
      <c r="S70" s="82"/>
      <c r="T70" s="82"/>
      <c r="U70" s="82"/>
      <c r="V70" s="82"/>
    </row>
    <row r="71" spans="2:22" x14ac:dyDescent="0.3">
      <c r="B71" s="2" t="s">
        <v>45</v>
      </c>
      <c r="C71" s="3"/>
      <c r="D71" s="5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3"/>
      <c r="Q71" s="83"/>
      <c r="R71" s="83"/>
      <c r="S71" s="83"/>
      <c r="T71" s="83"/>
      <c r="U71" s="83"/>
      <c r="V71" s="83"/>
    </row>
    <row r="72" spans="2:22" x14ac:dyDescent="0.3">
      <c r="D72" s="24"/>
      <c r="E72" s="80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  <c r="Q72" s="82"/>
      <c r="R72" s="82"/>
      <c r="S72" s="82"/>
      <c r="T72" s="82"/>
      <c r="U72" s="82"/>
      <c r="V72" s="82"/>
    </row>
    <row r="73" spans="2:22" x14ac:dyDescent="0.3">
      <c r="B73" s="1" t="s">
        <v>47</v>
      </c>
      <c r="E73" s="56">
        <f>E57</f>
        <v>5.5</v>
      </c>
      <c r="F73" s="56">
        <f t="shared" ref="F73:H73" si="125">F57</f>
        <v>6.2</v>
      </c>
      <c r="G73" s="56">
        <f t="shared" si="125"/>
        <v>2.2000000000000002</v>
      </c>
      <c r="H73" s="56">
        <f t="shared" si="125"/>
        <v>4.2</v>
      </c>
      <c r="I73" s="56">
        <f t="shared" ref="I73:J73" si="126">I57</f>
        <v>10.4</v>
      </c>
      <c r="J73" s="56">
        <f t="shared" si="126"/>
        <v>3.6</v>
      </c>
      <c r="K73" s="56">
        <f t="shared" ref="K73:O73" si="127">K57</f>
        <v>7.8</v>
      </c>
      <c r="L73" s="56">
        <f t="shared" si="127"/>
        <v>4.4000000000000004</v>
      </c>
      <c r="M73" s="56">
        <f t="shared" si="127"/>
        <v>10.4</v>
      </c>
      <c r="N73" s="56">
        <f t="shared" si="127"/>
        <v>6.4</v>
      </c>
      <c r="O73" s="56">
        <f t="shared" si="127"/>
        <v>8.1</v>
      </c>
      <c r="P73" s="28">
        <f t="shared" ref="P73:U73" si="128">P57</f>
        <v>11.540000000000001</v>
      </c>
      <c r="Q73" s="28">
        <f t="shared" si="128"/>
        <v>11.915115535614135</v>
      </c>
      <c r="R73" s="28">
        <f t="shared" si="128"/>
        <v>12.359457964105436</v>
      </c>
      <c r="S73" s="28">
        <f t="shared" si="128"/>
        <v>12.863870851093653</v>
      </c>
      <c r="T73" s="28">
        <f t="shared" si="128"/>
        <v>13.421894385235557</v>
      </c>
      <c r="U73" s="28">
        <f t="shared" si="128"/>
        <v>14.029111598187738</v>
      </c>
      <c r="V73" s="28">
        <f t="shared" ref="V73" si="129">V57</f>
        <v>14.68265904836494</v>
      </c>
    </row>
    <row r="74" spans="2:22" x14ac:dyDescent="0.3">
      <c r="B74" s="1" t="s">
        <v>154</v>
      </c>
      <c r="E74" s="56">
        <f>INDEX(cf!$B$5:$CO$107,MATCH($B74,cf!$A$5:$A$107,0),MATCH(E$6,cf!$B$3:$CO$3,0))</f>
        <v>6.5</v>
      </c>
      <c r="F74" s="56">
        <f>INDEX(cf!$B$5:$CO$107,MATCH($B74,cf!$A$5:$A$107,0),MATCH(F$6,cf!$B$3:$CO$3,0))</f>
        <v>-2.4</v>
      </c>
      <c r="G74" s="56">
        <f>INDEX(cf!$B$5:$CO$107,MATCH($B74,cf!$A$5:$A$107,0),MATCH(G$6,cf!$B$3:$CO$3,0))</f>
        <v>-3</v>
      </c>
      <c r="H74" s="56">
        <f>INDEX(cf!$B$5:$CO$107,MATCH($B74,cf!$A$5:$A$107,0),MATCH(H$6,cf!$B$3:$CO$3,0))</f>
        <v>3</v>
      </c>
      <c r="I74" s="56">
        <f>INDEX(cf!$B$5:$CO$107,MATCH($B74,cf!$A$5:$A$107,0),MATCH(I$6,cf!$B$3:$CO$3,0))</f>
        <v>15.5</v>
      </c>
      <c r="J74" s="56">
        <f>INDEX(cf!$B$5:$CO$107,MATCH($B74,cf!$A$5:$A$107,0),MATCH(J$6,cf!$B$3:$CO$3,0))</f>
        <v>-10.199999999999999</v>
      </c>
      <c r="K74" s="56">
        <f>INDEX(cf!$B$5:$CO$107,MATCH($B74,cf!$A$5:$A$107,0),MATCH(K$6,cf!$B$3:$CO$3,0))</f>
        <v>2.6</v>
      </c>
      <c r="L74" s="56">
        <f>INDEX(cf!$B$5:$CO$107,MATCH($B74,cf!$A$5:$A$107,0),MATCH(L$6,cf!$B$3:$CO$3,0))</f>
        <v>2.7</v>
      </c>
      <c r="M74" s="56">
        <f>INDEX(cf!$B$5:$CO$107,MATCH($B74,cf!$A$5:$A$107,0),MATCH(M$6,cf!$B$3:$CO$3,0))</f>
        <v>6.3</v>
      </c>
      <c r="N74" s="56">
        <f>INDEX(cf!$B$5:$CO$107,MATCH($B74,cf!$A$5:$A$107,0),MATCH(N$6,cf!$B$3:$CO$3,0))</f>
        <v>9.5</v>
      </c>
      <c r="O74" s="56">
        <f>INDEX(cf!$B$5:$CO$107,MATCH($B74,cf!$A$5:$A$107,0),MATCH(O$6,cf!$B$3:$CO$3,0))</f>
        <v>-12.7</v>
      </c>
      <c r="P74" s="28">
        <f>O13-P13+P24-O24</f>
        <v>20.745801289353309</v>
      </c>
      <c r="Q74" s="28">
        <f t="shared" ref="Q74" si="130">P13-Q13+Q24-P24</f>
        <v>0.88729006446766334</v>
      </c>
      <c r="R74" s="28">
        <f t="shared" ref="R74" si="131">Q13-R13+R24-Q24</f>
        <v>0.93165456769105504</v>
      </c>
      <c r="S74" s="28">
        <f t="shared" ref="S74" si="132">R13-S13+S24-R24</f>
        <v>0.97823729607560495</v>
      </c>
      <c r="T74" s="28">
        <f t="shared" ref="T74" si="133">S13-T13+T24-S24</f>
        <v>1.0271491608793895</v>
      </c>
      <c r="U74" s="28">
        <f t="shared" ref="U74:V74" si="134">T13-U13+U24-T24</f>
        <v>1.0785066189233419</v>
      </c>
      <c r="V74" s="28">
        <f t="shared" si="134"/>
        <v>1.132431949869499</v>
      </c>
    </row>
    <row r="75" spans="2:22" x14ac:dyDescent="0.3">
      <c r="B75" s="1" t="s">
        <v>48</v>
      </c>
      <c r="E75" s="56">
        <f>-E56</f>
        <v>0.70000000000000018</v>
      </c>
      <c r="F75" s="56">
        <f t="shared" ref="F75:H75" si="135">-F56</f>
        <v>0.89999999999999947</v>
      </c>
      <c r="G75" s="56">
        <f t="shared" si="135"/>
        <v>1.1999999999999997</v>
      </c>
      <c r="H75" s="56">
        <f t="shared" si="135"/>
        <v>0.70000000000000018</v>
      </c>
      <c r="I75" s="56">
        <f t="shared" ref="I75:J75" si="136">-I56</f>
        <v>1.2999999999999989</v>
      </c>
      <c r="J75" s="56">
        <f t="shared" si="136"/>
        <v>1.1000000000000001</v>
      </c>
      <c r="K75" s="56">
        <f t="shared" ref="K75:O75" si="137">-K56</f>
        <v>2.2999999999999998</v>
      </c>
      <c r="L75" s="56">
        <f t="shared" si="137"/>
        <v>1.1999999999999993</v>
      </c>
      <c r="M75" s="56">
        <f t="shared" si="137"/>
        <v>2.5</v>
      </c>
      <c r="N75" s="56">
        <f t="shared" si="137"/>
        <v>1.2999999999999998</v>
      </c>
      <c r="O75" s="56">
        <f t="shared" si="137"/>
        <v>2</v>
      </c>
      <c r="P75" s="28">
        <f t="shared" ref="P75:U75" si="138">-P56</f>
        <v>2.6</v>
      </c>
      <c r="Q75" s="28">
        <f t="shared" si="138"/>
        <v>2.9318844643858668</v>
      </c>
      <c r="R75" s="28">
        <f t="shared" si="138"/>
        <v>3.2298920358945602</v>
      </c>
      <c r="S75" s="28">
        <f t="shared" si="138"/>
        <v>3.5049466489063383</v>
      </c>
      <c r="T75" s="28">
        <f t="shared" si="138"/>
        <v>3.7653639897644426</v>
      </c>
      <c r="U75" s="28">
        <f t="shared" si="138"/>
        <v>4.0175096955622553</v>
      </c>
      <c r="V75" s="28">
        <f t="shared" ref="V75" si="139">-V56</f>
        <v>4.2662933100725615</v>
      </c>
    </row>
    <row r="76" spans="2:22" x14ac:dyDescent="0.3">
      <c r="B76" s="1" t="s">
        <v>49</v>
      </c>
      <c r="E76" s="56">
        <f>E60</f>
        <v>0</v>
      </c>
      <c r="F76" s="56">
        <f t="shared" ref="F76:H76" si="140">F60</f>
        <v>0</v>
      </c>
      <c r="G76" s="56">
        <f t="shared" si="140"/>
        <v>0</v>
      </c>
      <c r="H76" s="56">
        <f t="shared" si="140"/>
        <v>-0.9</v>
      </c>
      <c r="I76" s="56">
        <f t="shared" ref="I76:J76" si="141">I60</f>
        <v>-2.1</v>
      </c>
      <c r="J76" s="56">
        <f t="shared" si="141"/>
        <v>-0.7</v>
      </c>
      <c r="K76" s="56">
        <f t="shared" ref="K76:O76" si="142">K60</f>
        <v>-1.5</v>
      </c>
      <c r="L76" s="56">
        <f t="shared" si="142"/>
        <v>-0.9</v>
      </c>
      <c r="M76" s="56">
        <f t="shared" si="142"/>
        <v>-2.6</v>
      </c>
      <c r="N76" s="56">
        <f t="shared" si="142"/>
        <v>-1.1000000000000001</v>
      </c>
      <c r="O76" s="56">
        <f t="shared" si="142"/>
        <v>-0.8</v>
      </c>
      <c r="P76" s="28">
        <f t="shared" ref="P76:U76" si="143">P60</f>
        <v>-2.8850000000000002</v>
      </c>
      <c r="Q76" s="28">
        <f t="shared" si="143"/>
        <v>-2.9787788839035336</v>
      </c>
      <c r="R76" s="28">
        <f t="shared" si="143"/>
        <v>-3.0898644910263591</v>
      </c>
      <c r="S76" s="28">
        <f t="shared" si="143"/>
        <v>-3.2159677127734132</v>
      </c>
      <c r="T76" s="28">
        <f t="shared" si="143"/>
        <v>-3.3554735963088893</v>
      </c>
      <c r="U76" s="28">
        <f t="shared" si="143"/>
        <v>-3.5072778995469345</v>
      </c>
      <c r="V76" s="28">
        <f t="shared" ref="V76" si="144">V60</f>
        <v>-3.6706647620912349</v>
      </c>
    </row>
    <row r="77" spans="2:22" x14ac:dyDescent="0.3">
      <c r="B77" s="1" t="s">
        <v>46</v>
      </c>
      <c r="E77" s="56">
        <f>E78-SUM(E73:E76)</f>
        <v>-5.3999999999999995</v>
      </c>
      <c r="F77" s="56">
        <f t="shared" ref="F77:H77" si="145">F78-SUM(F73:F76)</f>
        <v>-5.1999999999999993</v>
      </c>
      <c r="G77" s="56">
        <f t="shared" si="145"/>
        <v>3.1</v>
      </c>
      <c r="H77" s="56">
        <f t="shared" si="145"/>
        <v>2.0999999999999996</v>
      </c>
      <c r="I77" s="56">
        <f t="shared" ref="I77:J77" si="146">I78-SUM(I73:I76)</f>
        <v>1.9000000000000057</v>
      </c>
      <c r="J77" s="56">
        <f t="shared" si="146"/>
        <v>0.79999999999999982</v>
      </c>
      <c r="K77" s="56">
        <f t="shared" ref="K77:O77" si="147">K78-SUM(K73:K76)</f>
        <v>-0.39999999999999858</v>
      </c>
      <c r="L77" s="56">
        <f t="shared" si="147"/>
        <v>1</v>
      </c>
      <c r="M77" s="56">
        <f t="shared" si="147"/>
        <v>0.60000000000000142</v>
      </c>
      <c r="N77" s="56">
        <f t="shared" si="147"/>
        <v>0.30000000000000071</v>
      </c>
      <c r="O77" s="56">
        <f t="shared" si="147"/>
        <v>-1.2000000000000002</v>
      </c>
      <c r="P77" s="28">
        <f t="shared" ref="P77:U77" si="148">P58</f>
        <v>0</v>
      </c>
      <c r="Q77" s="28">
        <f t="shared" si="148"/>
        <v>0</v>
      </c>
      <c r="R77" s="28">
        <f t="shared" si="148"/>
        <v>0</v>
      </c>
      <c r="S77" s="28">
        <f t="shared" si="148"/>
        <v>0</v>
      </c>
      <c r="T77" s="28">
        <f t="shared" si="148"/>
        <v>0</v>
      </c>
      <c r="U77" s="28">
        <f t="shared" si="148"/>
        <v>0</v>
      </c>
      <c r="V77" s="28">
        <f t="shared" ref="V77" si="149">V58</f>
        <v>0</v>
      </c>
    </row>
    <row r="78" spans="2:22" ht="15" thickBot="1" x14ac:dyDescent="0.35">
      <c r="B78" s="17" t="s">
        <v>157</v>
      </c>
      <c r="C78" s="17"/>
      <c r="D78" s="17"/>
      <c r="E78" s="78">
        <f>INDEX(cf!$B$5:$CO$107,MATCH($B78,cf!$A$5:$A$107,0),MATCH(E$6,cf!$B$3:$CO$3,0))</f>
        <v>7.3</v>
      </c>
      <c r="F78" s="78">
        <f>INDEX(cf!$B$5:$CO$107,MATCH($B78,cf!$A$5:$A$107,0),MATCH(F$6,cf!$B$3:$CO$3,0))</f>
        <v>-0.5</v>
      </c>
      <c r="G78" s="78">
        <f>INDEX(cf!$B$5:$CO$107,MATCH($B78,cf!$A$5:$A$107,0),MATCH(G$6,cf!$B$3:$CO$3,0))</f>
        <v>3.5</v>
      </c>
      <c r="H78" s="78">
        <f>INDEX(cf!$B$5:$CO$107,MATCH($B78,cf!$A$5:$A$107,0),MATCH(H$6,cf!$B$3:$CO$3,0))</f>
        <v>9.1</v>
      </c>
      <c r="I78" s="78">
        <f>INDEX(cf!$B$5:$CO$107,MATCH($B78,cf!$A$5:$A$107,0),MATCH(I$6,cf!$B$3:$CO$3,0))</f>
        <v>27</v>
      </c>
      <c r="J78" s="78">
        <f>INDEX(cf!$B$5:$CO$107,MATCH($B78,cf!$A$5:$A$107,0),MATCH(J$6,cf!$B$3:$CO$3,0))</f>
        <v>-5.4</v>
      </c>
      <c r="K78" s="78">
        <f>INDEX(cf!$B$5:$CO$107,MATCH($B78,cf!$A$5:$A$107,0),MATCH(K$6,cf!$B$3:$CO$3,0))</f>
        <v>10.8</v>
      </c>
      <c r="L78" s="78">
        <f>INDEX(cf!$B$5:$CO$107,MATCH($B78,cf!$A$5:$A$107,0),MATCH(L$6,cf!$B$3:$CO$3,0))</f>
        <v>8.4</v>
      </c>
      <c r="M78" s="78">
        <f>INDEX(cf!$B$5:$CO$107,MATCH($B78,cf!$A$5:$A$107,0),MATCH(M$6,cf!$B$3:$CO$3,0))</f>
        <v>17.2</v>
      </c>
      <c r="N78" s="78">
        <f>INDEX(cf!$B$5:$CO$107,MATCH($B78,cf!$A$5:$A$107,0),MATCH(N$6,cf!$B$3:$CO$3,0))</f>
        <v>16.399999999999999</v>
      </c>
      <c r="O78" s="78">
        <f>INDEX(cf!$B$5:$CO$107,MATCH($B78,cf!$A$5:$A$107,0),MATCH(O$6,cf!$B$3:$CO$3,0))</f>
        <v>-4.5999999999999996</v>
      </c>
      <c r="P78" s="79">
        <f t="shared" ref="P78:U78" si="150">SUM(P73:P77)</f>
        <v>32.000801289353312</v>
      </c>
      <c r="Q78" s="79">
        <f t="shared" si="150"/>
        <v>12.755511180564131</v>
      </c>
      <c r="R78" s="79">
        <f t="shared" si="150"/>
        <v>13.431140076664692</v>
      </c>
      <c r="S78" s="79">
        <f t="shared" si="150"/>
        <v>14.131087083302184</v>
      </c>
      <c r="T78" s="79">
        <f t="shared" si="150"/>
        <v>14.858933939570498</v>
      </c>
      <c r="U78" s="79">
        <f t="shared" si="150"/>
        <v>15.6178500131264</v>
      </c>
      <c r="V78" s="79">
        <f t="shared" ref="V78" si="151">SUM(V73:V77)</f>
        <v>16.410719546215766</v>
      </c>
    </row>
    <row r="79" spans="2:22" ht="15" thickTop="1" x14ac:dyDescent="0.3">
      <c r="B79" s="1" t="s">
        <v>158</v>
      </c>
      <c r="E79" s="56">
        <f>INDEX(cf!$B$5:$CO$107,MATCH($B79,cf!$A$5:$A$107,0),MATCH(E$6,cf!$B$3:$CO$3,0))</f>
        <v>-0.6</v>
      </c>
      <c r="F79" s="56">
        <f>INDEX(cf!$B$5:$CO$107,MATCH($B79,cf!$A$5:$A$107,0),MATCH(F$6,cf!$B$3:$CO$3,0))</f>
        <v>-1</v>
      </c>
      <c r="G79" s="56">
        <f>INDEX(cf!$B$5:$CO$107,MATCH($B79,cf!$A$5:$A$107,0),MATCH(G$6,cf!$B$3:$CO$3,0))</f>
        <v>-1.5</v>
      </c>
      <c r="H79" s="56">
        <f>INDEX(cf!$B$5:$CO$107,MATCH($B79,cf!$A$5:$A$107,0),MATCH(H$6,cf!$B$3:$CO$3,0))</f>
        <v>-0.5</v>
      </c>
      <c r="I79" s="56">
        <f>INDEX(cf!$B$5:$CO$107,MATCH($B79,cf!$A$5:$A$107,0),MATCH(I$6,cf!$B$3:$CO$3,0))</f>
        <v>-1.2</v>
      </c>
      <c r="J79" s="56">
        <f>INDEX(cf!$B$5:$CO$107,MATCH($B79,cf!$A$5:$A$107,0),MATCH(J$6,cf!$B$3:$CO$3,0))</f>
        <v>-3</v>
      </c>
      <c r="K79" s="56">
        <f>INDEX(cf!$B$5:$CO$107,MATCH($B79,cf!$A$5:$A$107,0),MATCH(K$6,cf!$B$3:$CO$3,0))</f>
        <v>-3.9</v>
      </c>
      <c r="L79" s="56">
        <f>INDEX(cf!$B$5:$CO$107,MATCH($B79,cf!$A$5:$A$107,0),MATCH(L$6,cf!$B$3:$CO$3,0))</f>
        <v>-0.9</v>
      </c>
      <c r="M79" s="56">
        <f>INDEX(cf!$B$5:$CO$107,MATCH($B79,cf!$A$5:$A$107,0),MATCH(M$6,cf!$B$3:$CO$3,0))</f>
        <v>-2.1</v>
      </c>
      <c r="N79" s="56">
        <f>INDEX(cf!$B$5:$CO$107,MATCH($B79,cf!$A$5:$A$107,0),MATCH(N$6,cf!$B$3:$CO$3,0))</f>
        <v>-0.9</v>
      </c>
      <c r="O79" s="56">
        <f>INDEX(cf!$B$5:$CO$107,MATCH($B79,cf!$A$5:$A$107,0),MATCH(O$6,cf!$B$3:$CO$3,0))</f>
        <v>-1.9</v>
      </c>
      <c r="P79" s="28">
        <f>-summary!P36</f>
        <v>-3.9275378575434665</v>
      </c>
      <c r="Q79" s="28">
        <f>-summary!Q36</f>
        <v>-4.1239147504206404</v>
      </c>
      <c r="R79" s="28">
        <f>-summary!R36</f>
        <v>-4.3301104879416723</v>
      </c>
      <c r="S79" s="28">
        <f>-summary!S36</f>
        <v>-4.546616012338756</v>
      </c>
      <c r="T79" s="28">
        <f>-summary!T36</f>
        <v>-4.7739468129556943</v>
      </c>
      <c r="U79" s="28">
        <f>-summary!U36</f>
        <v>-5.0126441536034791</v>
      </c>
      <c r="V79" s="28">
        <f>-summary!V36</f>
        <v>-5.2632763612836539</v>
      </c>
    </row>
    <row r="80" spans="2:22" x14ac:dyDescent="0.3">
      <c r="B80" s="1" t="s">
        <v>159</v>
      </c>
      <c r="E80" s="56">
        <f>INDEX(cf!$B$5:$CO$107,MATCH($B80,cf!$A$5:$A$107,0),MATCH(E$6,cf!$B$3:$CO$3,0))</f>
        <v>0</v>
      </c>
      <c r="F80" s="56">
        <f>INDEX(cf!$B$5:$CO$107,MATCH($B80,cf!$A$5:$A$107,0),MATCH(F$6,cf!$B$3:$CO$3,0))</f>
        <v>0</v>
      </c>
      <c r="G80" s="56">
        <f>INDEX(cf!$B$5:$CO$107,MATCH($B80,cf!$A$5:$A$107,0),MATCH(G$6,cf!$B$3:$CO$3,0))</f>
        <v>0</v>
      </c>
      <c r="H80" s="56">
        <f>INDEX(cf!$B$5:$CO$107,MATCH($B80,cf!$A$5:$A$107,0),MATCH(H$6,cf!$B$3:$CO$3,0))</f>
        <v>0</v>
      </c>
      <c r="I80" s="56">
        <f>INDEX(cf!$B$5:$CO$107,MATCH($B80,cf!$A$5:$A$107,0),MATCH(I$6,cf!$B$3:$CO$3,0))</f>
        <v>0</v>
      </c>
      <c r="J80" s="56">
        <f>INDEX(cf!$B$5:$CO$107,MATCH($B80,cf!$A$5:$A$107,0),MATCH(J$6,cf!$B$3:$CO$3,0))</f>
        <v>0</v>
      </c>
      <c r="K80" s="56">
        <f>INDEX(cf!$B$5:$CO$107,MATCH($B80,cf!$A$5:$A$107,0),MATCH(K$6,cf!$B$3:$CO$3,0))</f>
        <v>0</v>
      </c>
      <c r="L80" s="56">
        <f>INDEX(cf!$B$5:$CO$107,MATCH($B80,cf!$A$5:$A$107,0),MATCH(L$6,cf!$B$3:$CO$3,0))</f>
        <v>0</v>
      </c>
      <c r="M80" s="56">
        <f>INDEX(cf!$B$5:$CO$107,MATCH($B80,cf!$A$5:$A$107,0),MATCH(M$6,cf!$B$3:$CO$3,0))</f>
        <v>0</v>
      </c>
      <c r="N80" s="56">
        <f>INDEX(cf!$B$5:$CO$107,MATCH($B80,cf!$A$5:$A$107,0),MATCH(N$6,cf!$B$3:$CO$3,0))</f>
        <v>0</v>
      </c>
      <c r="O80" s="56">
        <f>INDEX(cf!$B$5:$CO$107,MATCH($B80,cf!$A$5:$A$107,0),MATCH(O$6,cf!$B$3:$CO$3,0))</f>
        <v>0</v>
      </c>
      <c r="P80" s="28"/>
      <c r="Q80" s="28"/>
      <c r="R80" s="28"/>
      <c r="S80" s="28"/>
      <c r="T80" s="28"/>
      <c r="U80" s="28"/>
      <c r="V80" s="28"/>
    </row>
    <row r="81" spans="2:22" x14ac:dyDescent="0.3">
      <c r="B81" s="1" t="s">
        <v>50</v>
      </c>
      <c r="E81" s="56">
        <f>INDEX(cf!$B$5:$CO$107,MATCH($B81,cf!$A$5:$A$107,0),MATCH(E$6,cf!$B$3:$CO$3,0))</f>
        <v>0</v>
      </c>
      <c r="F81" s="56">
        <f>INDEX(cf!$B$5:$CO$107,MATCH($B81,cf!$A$5:$A$107,0),MATCH(F$6,cf!$B$3:$CO$3,0))</f>
        <v>0</v>
      </c>
      <c r="G81" s="56">
        <f>INDEX(cf!$B$5:$CO$107,MATCH($B81,cf!$A$5:$A$107,0),MATCH(G$6,cf!$B$3:$CO$3,0))</f>
        <v>0</v>
      </c>
      <c r="H81" s="56">
        <f>INDEX(cf!$B$5:$CO$107,MATCH($B81,cf!$A$5:$A$107,0),MATCH(H$6,cf!$B$3:$CO$3,0))</f>
        <v>-0.1</v>
      </c>
      <c r="I81" s="56">
        <f>INDEX(cf!$B$5:$CO$107,MATCH($B81,cf!$A$5:$A$107,0),MATCH(I$6,cf!$B$3:$CO$3,0))</f>
        <v>-0.1</v>
      </c>
      <c r="J81" s="56">
        <f>INDEX(cf!$B$5:$CO$107,MATCH($B81,cf!$A$5:$A$107,0),MATCH(J$6,cf!$B$3:$CO$3,0))</f>
        <v>0</v>
      </c>
      <c r="K81" s="56">
        <f>INDEX(cf!$B$5:$CO$107,MATCH($B81,cf!$A$5:$A$107,0),MATCH(K$6,cf!$B$3:$CO$3,0))</f>
        <v>0</v>
      </c>
      <c r="L81" s="56">
        <f>INDEX(cf!$B$5:$CO$107,MATCH($B81,cf!$A$5:$A$107,0),MATCH(L$6,cf!$B$3:$CO$3,0))</f>
        <v>0</v>
      </c>
      <c r="M81" s="56">
        <f>INDEX(cf!$B$5:$CO$107,MATCH($B81,cf!$A$5:$A$107,0),MATCH(M$6,cf!$B$3:$CO$3,0))</f>
        <v>0</v>
      </c>
      <c r="N81" s="56">
        <f>INDEX(cf!$B$5:$CO$107,MATCH($B81,cf!$A$5:$A$107,0),MATCH(N$6,cf!$B$3:$CO$3,0))</f>
        <v>0</v>
      </c>
      <c r="O81" s="56">
        <f>INDEX(cf!$B$5:$CO$107,MATCH($B81,cf!$A$5:$A$107,0),MATCH(O$6,cf!$B$3:$CO$3,0))</f>
        <v>0</v>
      </c>
      <c r="P81" s="28"/>
      <c r="Q81" s="28"/>
      <c r="R81" s="28"/>
      <c r="S81" s="28"/>
      <c r="T81" s="28"/>
      <c r="U81" s="28"/>
      <c r="V81" s="28"/>
    </row>
    <row r="82" spans="2:22" x14ac:dyDescent="0.3">
      <c r="B82" s="1" t="s">
        <v>163</v>
      </c>
      <c r="E82" s="56">
        <f>INDEX(cf!$B$5:$CO$107,MATCH($B82,cf!$A$5:$A$107,0),MATCH(E$6,cf!$B$3:$CO$3,0))</f>
        <v>0</v>
      </c>
      <c r="F82" s="56">
        <f>INDEX(cf!$B$5:$CO$107,MATCH($B82,cf!$A$5:$A$107,0),MATCH(F$6,cf!$B$3:$CO$3,0))</f>
        <v>0</v>
      </c>
      <c r="G82" s="56">
        <f>INDEX(cf!$B$5:$CO$107,MATCH($B82,cf!$A$5:$A$107,0),MATCH(G$6,cf!$B$3:$CO$3,0))</f>
        <v>0</v>
      </c>
      <c r="H82" s="56">
        <f>INDEX(cf!$B$5:$CO$107,MATCH($B82,cf!$A$5:$A$107,0),MATCH(H$6,cf!$B$3:$CO$3,0))</f>
        <v>0</v>
      </c>
      <c r="I82" s="56">
        <f>INDEX(cf!$B$5:$CO$107,MATCH($B82,cf!$A$5:$A$107,0),MATCH(I$6,cf!$B$3:$CO$3,0))</f>
        <v>0</v>
      </c>
      <c r="J82" s="56">
        <f>INDEX(cf!$B$5:$CO$107,MATCH($B82,cf!$A$5:$A$107,0),MATCH(J$6,cf!$B$3:$CO$3,0))</f>
        <v>0</v>
      </c>
      <c r="K82" s="56">
        <f>INDEX(cf!$B$5:$CO$107,MATCH($B82,cf!$A$5:$A$107,0),MATCH(K$6,cf!$B$3:$CO$3,0))</f>
        <v>0</v>
      </c>
      <c r="L82" s="56">
        <f>INDEX(cf!$B$5:$CO$107,MATCH($B82,cf!$A$5:$A$107,0),MATCH(L$6,cf!$B$3:$CO$3,0))</f>
        <v>0</v>
      </c>
      <c r="M82" s="56">
        <f>INDEX(cf!$B$5:$CO$107,MATCH($B82,cf!$A$5:$A$107,0),MATCH(M$6,cf!$B$3:$CO$3,0))</f>
        <v>0</v>
      </c>
      <c r="N82" s="56">
        <f>INDEX(cf!$B$5:$CO$107,MATCH($B82,cf!$A$5:$A$107,0),MATCH(N$6,cf!$B$3:$CO$3,0))</f>
        <v>0</v>
      </c>
      <c r="O82" s="56">
        <f>INDEX(cf!$B$5:$CO$107,MATCH($B82,cf!$A$5:$A$107,0),MATCH(O$6,cf!$B$3:$CO$3,0))</f>
        <v>0</v>
      </c>
      <c r="P82" s="28"/>
      <c r="Q82" s="28"/>
      <c r="R82" s="28"/>
      <c r="S82" s="28"/>
      <c r="T82" s="28"/>
      <c r="U82" s="28"/>
      <c r="V82" s="28"/>
    </row>
    <row r="83" spans="2:22" x14ac:dyDescent="0.3">
      <c r="B83" s="1" t="s">
        <v>164</v>
      </c>
      <c r="E83" s="56">
        <f>INDEX(cf!$B$5:$CO$107,MATCH($B83,cf!$A$5:$A$107,0),MATCH(E$6,cf!$B$3:$CO$3,0))</f>
        <v>0</v>
      </c>
      <c r="F83" s="56">
        <f>INDEX(cf!$B$5:$CO$107,MATCH($B83,cf!$A$5:$A$107,0),MATCH(F$6,cf!$B$3:$CO$3,0))</f>
        <v>0</v>
      </c>
      <c r="G83" s="56">
        <f>INDEX(cf!$B$5:$CO$107,MATCH($B83,cf!$A$5:$A$107,0),MATCH(G$6,cf!$B$3:$CO$3,0))</f>
        <v>0</v>
      </c>
      <c r="H83" s="56">
        <f>INDEX(cf!$B$5:$CO$107,MATCH($B83,cf!$A$5:$A$107,0),MATCH(H$6,cf!$B$3:$CO$3,0))</f>
        <v>0</v>
      </c>
      <c r="I83" s="56">
        <f>INDEX(cf!$B$5:$CO$107,MATCH($B83,cf!$A$5:$A$107,0),MATCH(I$6,cf!$B$3:$CO$3,0))</f>
        <v>0</v>
      </c>
      <c r="J83" s="56">
        <f>INDEX(cf!$B$5:$CO$107,MATCH($B83,cf!$A$5:$A$107,0),MATCH(J$6,cf!$B$3:$CO$3,0))</f>
        <v>0</v>
      </c>
      <c r="K83" s="56">
        <f>INDEX(cf!$B$5:$CO$107,MATCH($B83,cf!$A$5:$A$107,0),MATCH(K$6,cf!$B$3:$CO$3,0))</f>
        <v>0</v>
      </c>
      <c r="L83" s="56">
        <f>INDEX(cf!$B$5:$CO$107,MATCH($B83,cf!$A$5:$A$107,0),MATCH(L$6,cf!$B$3:$CO$3,0))</f>
        <v>0</v>
      </c>
      <c r="M83" s="56">
        <f>INDEX(cf!$B$5:$CO$107,MATCH($B83,cf!$A$5:$A$107,0),MATCH(M$6,cf!$B$3:$CO$3,0))</f>
        <v>0</v>
      </c>
      <c r="N83" s="56">
        <f>INDEX(cf!$B$5:$CO$107,MATCH($B83,cf!$A$5:$A$107,0),MATCH(N$6,cf!$B$3:$CO$3,0))</f>
        <v>0</v>
      </c>
      <c r="O83" s="56">
        <f>INDEX(cf!$B$5:$CO$107,MATCH($B83,cf!$A$5:$A$107,0),MATCH(O$6,cf!$B$3:$CO$3,0))</f>
        <v>0</v>
      </c>
      <c r="P83" s="28"/>
      <c r="Q83" s="28"/>
      <c r="R83" s="28"/>
      <c r="S83" s="28"/>
      <c r="T83" s="28"/>
      <c r="U83" s="28"/>
      <c r="V83" s="28"/>
    </row>
    <row r="84" spans="2:22" x14ac:dyDescent="0.3">
      <c r="B84" s="1" t="s">
        <v>46</v>
      </c>
      <c r="E84" s="56">
        <f>E85-SUM(E79:E83)</f>
        <v>0</v>
      </c>
      <c r="F84" s="56">
        <f t="shared" ref="F84:H84" si="152">F85-SUM(F79:F83)</f>
        <v>0</v>
      </c>
      <c r="G84" s="56">
        <f t="shared" si="152"/>
        <v>0</v>
      </c>
      <c r="H84" s="56">
        <f t="shared" si="152"/>
        <v>-9.9999999999999978E-2</v>
      </c>
      <c r="I84" s="56">
        <f t="shared" ref="I84:J84" si="153">I85-SUM(I79:I83)</f>
        <v>0</v>
      </c>
      <c r="J84" s="56">
        <f t="shared" si="153"/>
        <v>0</v>
      </c>
      <c r="K84" s="56">
        <f t="shared" ref="K84:O84" si="154">K85-SUM(K79:K83)</f>
        <v>0</v>
      </c>
      <c r="L84" s="56">
        <f t="shared" si="154"/>
        <v>0</v>
      </c>
      <c r="M84" s="56">
        <f t="shared" si="154"/>
        <v>0</v>
      </c>
      <c r="N84" s="56">
        <f t="shared" si="154"/>
        <v>0</v>
      </c>
      <c r="O84" s="56">
        <f t="shared" si="154"/>
        <v>0</v>
      </c>
      <c r="P84" s="28"/>
      <c r="Q84" s="28"/>
      <c r="R84" s="28"/>
      <c r="S84" s="28"/>
      <c r="T84" s="28"/>
      <c r="U84" s="28"/>
      <c r="V84" s="28"/>
    </row>
    <row r="85" spans="2:22" ht="15" thickBot="1" x14ac:dyDescent="0.35">
      <c r="B85" s="17" t="s">
        <v>166</v>
      </c>
      <c r="C85" s="17"/>
      <c r="D85" s="17"/>
      <c r="E85" s="78">
        <f>INDEX(cf!$B$5:$CO$107,MATCH($B85,cf!$A$5:$A$107,0),MATCH(E$6,cf!$B$3:$CO$3,0))</f>
        <v>-0.6</v>
      </c>
      <c r="F85" s="78">
        <f>INDEX(cf!$B$5:$CO$107,MATCH($B85,cf!$A$5:$A$107,0),MATCH(F$6,cf!$B$3:$CO$3,0))</f>
        <v>-1</v>
      </c>
      <c r="G85" s="78">
        <f>INDEX(cf!$B$5:$CO$107,MATCH($B85,cf!$A$5:$A$107,0),MATCH(G$6,cf!$B$3:$CO$3,0))</f>
        <v>-1.5</v>
      </c>
      <c r="H85" s="78">
        <f>INDEX(cf!$B$5:$CO$107,MATCH($B85,cf!$A$5:$A$107,0),MATCH(H$6,cf!$B$3:$CO$3,0))</f>
        <v>-0.7</v>
      </c>
      <c r="I85" s="78">
        <f>INDEX(cf!$B$5:$CO$107,MATCH($B85,cf!$A$5:$A$107,0),MATCH(I$6,cf!$B$3:$CO$3,0))</f>
        <v>-1.3</v>
      </c>
      <c r="J85" s="78">
        <f>INDEX(cf!$B$5:$CO$107,MATCH($B85,cf!$A$5:$A$107,0),MATCH(J$6,cf!$B$3:$CO$3,0))</f>
        <v>-3</v>
      </c>
      <c r="K85" s="78">
        <f>INDEX(cf!$B$5:$CO$107,MATCH($B85,cf!$A$5:$A$107,0),MATCH(K$6,cf!$B$3:$CO$3,0))</f>
        <v>-3.9</v>
      </c>
      <c r="L85" s="78">
        <f>INDEX(cf!$B$5:$CO$107,MATCH($B85,cf!$A$5:$A$107,0),MATCH(L$6,cf!$B$3:$CO$3,0))</f>
        <v>-0.9</v>
      </c>
      <c r="M85" s="78">
        <f>INDEX(cf!$B$5:$CO$107,MATCH($B85,cf!$A$5:$A$107,0),MATCH(M$6,cf!$B$3:$CO$3,0))</f>
        <v>-2.1</v>
      </c>
      <c r="N85" s="78">
        <f>INDEX(cf!$B$5:$CO$107,MATCH($B85,cf!$A$5:$A$107,0),MATCH(N$6,cf!$B$3:$CO$3,0))</f>
        <v>-0.9</v>
      </c>
      <c r="O85" s="78">
        <f>INDEX(cf!$B$5:$CO$107,MATCH($B85,cf!$A$5:$A$107,0),MATCH(O$6,cf!$B$3:$CO$3,0))</f>
        <v>-1.9</v>
      </c>
      <c r="P85" s="79">
        <f t="shared" ref="P85:U85" si="155">SUM(P79:P84)</f>
        <v>-3.9275378575434665</v>
      </c>
      <c r="Q85" s="79">
        <f t="shared" si="155"/>
        <v>-4.1239147504206404</v>
      </c>
      <c r="R85" s="79">
        <f t="shared" si="155"/>
        <v>-4.3301104879416723</v>
      </c>
      <c r="S85" s="79">
        <f t="shared" si="155"/>
        <v>-4.546616012338756</v>
      </c>
      <c r="T85" s="79">
        <f t="shared" si="155"/>
        <v>-4.7739468129556943</v>
      </c>
      <c r="U85" s="79">
        <f t="shared" si="155"/>
        <v>-5.0126441536034791</v>
      </c>
      <c r="V85" s="79">
        <f t="shared" ref="V85" si="156">SUM(V79:V84)</f>
        <v>-5.2632763612836539</v>
      </c>
    </row>
    <row r="86" spans="2:22" ht="15" thickTop="1" x14ac:dyDescent="0.3">
      <c r="B86" s="1" t="s">
        <v>167</v>
      </c>
      <c r="E86" s="56">
        <f>INDEX(cf!$B$5:$CO$107,MATCH($B86,cf!$A$5:$A$107,0),MATCH(E$6,cf!$B$3:$CO$3,0))</f>
        <v>0</v>
      </c>
      <c r="F86" s="56">
        <f>INDEX(cf!$B$5:$CO$107,MATCH($B86,cf!$A$5:$A$107,0),MATCH(F$6,cf!$B$3:$CO$3,0))</f>
        <v>0</v>
      </c>
      <c r="G86" s="56">
        <f>INDEX(cf!$B$5:$CO$107,MATCH($B86,cf!$A$5:$A$107,0),MATCH(G$6,cf!$B$3:$CO$3,0))</f>
        <v>0</v>
      </c>
      <c r="H86" s="56">
        <f>INDEX(cf!$B$5:$CO$107,MATCH($B86,cf!$A$5:$A$107,0),MATCH(H$6,cf!$B$3:$CO$3,0))</f>
        <v>14.1</v>
      </c>
      <c r="I86" s="56">
        <f>INDEX(cf!$B$5:$CO$107,MATCH($B86,cf!$A$5:$A$107,0),MATCH(I$6,cf!$B$3:$CO$3,0))</f>
        <v>14.1</v>
      </c>
      <c r="J86" s="56">
        <f>INDEX(cf!$B$5:$CO$107,MATCH($B86,cf!$A$5:$A$107,0),MATCH(J$6,cf!$B$3:$CO$3,0))</f>
        <v>0</v>
      </c>
      <c r="K86" s="56">
        <f>INDEX(cf!$B$5:$CO$107,MATCH($B86,cf!$A$5:$A$107,0),MATCH(K$6,cf!$B$3:$CO$3,0))</f>
        <v>0</v>
      </c>
      <c r="L86" s="56">
        <f>INDEX(cf!$B$5:$CO$107,MATCH($B86,cf!$A$5:$A$107,0),MATCH(L$6,cf!$B$3:$CO$3,0))</f>
        <v>0</v>
      </c>
      <c r="M86" s="56">
        <f>INDEX(cf!$B$5:$CO$107,MATCH($B86,cf!$A$5:$A$107,0),MATCH(M$6,cf!$B$3:$CO$3,0))</f>
        <v>0</v>
      </c>
      <c r="N86" s="56">
        <f>INDEX(cf!$B$5:$CO$107,MATCH($B86,cf!$A$5:$A$107,0),MATCH(N$6,cf!$B$3:$CO$3,0))</f>
        <v>0</v>
      </c>
      <c r="O86" s="56">
        <f>INDEX(cf!$B$5:$CO$107,MATCH($B86,cf!$A$5:$A$107,0),MATCH(O$6,cf!$B$3:$CO$3,0))</f>
        <v>0</v>
      </c>
      <c r="P86" s="28"/>
      <c r="Q86" s="28"/>
      <c r="R86" s="28"/>
      <c r="S86" s="28"/>
      <c r="T86" s="28"/>
      <c r="U86" s="28"/>
      <c r="V86" s="28"/>
    </row>
    <row r="87" spans="2:22" x14ac:dyDescent="0.3">
      <c r="B87" s="1" t="s">
        <v>52</v>
      </c>
      <c r="E87" s="56">
        <f>INDEX(cf!$B$5:$CO$107,MATCH($B87,cf!$A$5:$A$107,0),MATCH(E$6,cf!$B$3:$CO$3,0))</f>
        <v>0</v>
      </c>
      <c r="F87" s="56">
        <f>INDEX(cf!$B$5:$CO$107,MATCH($B87,cf!$A$5:$A$107,0),MATCH(F$6,cf!$B$3:$CO$3,0))</f>
        <v>0</v>
      </c>
      <c r="G87" s="56">
        <f>INDEX(cf!$B$5:$CO$107,MATCH($B87,cf!$A$5:$A$107,0),MATCH(G$6,cf!$B$3:$CO$3,0))</f>
        <v>0</v>
      </c>
      <c r="H87" s="56">
        <f>INDEX(cf!$B$5:$CO$107,MATCH($B87,cf!$A$5:$A$107,0),MATCH(H$6,cf!$B$3:$CO$3,0))</f>
        <v>0</v>
      </c>
      <c r="I87" s="56">
        <f>INDEX(cf!$B$5:$CO$107,MATCH($B87,cf!$A$5:$A$107,0),MATCH(I$6,cf!$B$3:$CO$3,0))</f>
        <v>0</v>
      </c>
      <c r="J87" s="56">
        <f>INDEX(cf!$B$5:$CO$107,MATCH($B87,cf!$A$5:$A$107,0),MATCH(J$6,cf!$B$3:$CO$3,0))</f>
        <v>0</v>
      </c>
      <c r="K87" s="56">
        <f>INDEX(cf!$B$5:$CO$107,MATCH($B87,cf!$A$5:$A$107,0),MATCH(K$6,cf!$B$3:$CO$3,0))</f>
        <v>0</v>
      </c>
      <c r="L87" s="56">
        <f>INDEX(cf!$B$5:$CO$107,MATCH($B87,cf!$A$5:$A$107,0),MATCH(L$6,cf!$B$3:$CO$3,0))</f>
        <v>0</v>
      </c>
      <c r="M87" s="56">
        <f>INDEX(cf!$B$5:$CO$107,MATCH($B87,cf!$A$5:$A$107,0),MATCH(M$6,cf!$B$3:$CO$3,0))</f>
        <v>0</v>
      </c>
      <c r="N87" s="56">
        <f>INDEX(cf!$B$5:$CO$107,MATCH($B87,cf!$A$5:$A$107,0),MATCH(N$6,cf!$B$3:$CO$3,0))</f>
        <v>0</v>
      </c>
      <c r="O87" s="56">
        <f>INDEX(cf!$B$5:$CO$107,MATCH($B87,cf!$A$5:$A$107,0),MATCH(O$6,cf!$B$3:$CO$3,0))</f>
        <v>0</v>
      </c>
      <c r="P87" s="28"/>
      <c r="Q87" s="28"/>
      <c r="R87" s="28"/>
      <c r="S87" s="28"/>
      <c r="T87" s="28"/>
      <c r="U87" s="28"/>
      <c r="V87" s="28"/>
    </row>
    <row r="88" spans="2:22" x14ac:dyDescent="0.3">
      <c r="B88" s="1" t="s">
        <v>168</v>
      </c>
      <c r="E88" s="56">
        <f>INDEX(cf!$B$5:$CO$107,MATCH($B88,cf!$A$5:$A$107,0),MATCH(E$6,cf!$B$3:$CO$3,0))</f>
        <v>0</v>
      </c>
      <c r="F88" s="56">
        <f>INDEX(cf!$B$5:$CO$107,MATCH($B88,cf!$A$5:$A$107,0),MATCH(F$6,cf!$B$3:$CO$3,0))</f>
        <v>0</v>
      </c>
      <c r="G88" s="56">
        <f>INDEX(cf!$B$5:$CO$107,MATCH($B88,cf!$A$5:$A$107,0),MATCH(G$6,cf!$B$3:$CO$3,0))</f>
        <v>2</v>
      </c>
      <c r="H88" s="56">
        <f>INDEX(cf!$B$5:$CO$107,MATCH($B88,cf!$A$5:$A$107,0),MATCH(H$6,cf!$B$3:$CO$3,0))</f>
        <v>0</v>
      </c>
      <c r="I88" s="56">
        <f>INDEX(cf!$B$5:$CO$107,MATCH($B88,cf!$A$5:$A$107,0),MATCH(I$6,cf!$B$3:$CO$3,0))</f>
        <v>0</v>
      </c>
      <c r="J88" s="56">
        <f>INDEX(cf!$B$5:$CO$107,MATCH($B88,cf!$A$5:$A$107,0),MATCH(J$6,cf!$B$3:$CO$3,0))</f>
        <v>0</v>
      </c>
      <c r="K88" s="56">
        <f>INDEX(cf!$B$5:$CO$107,MATCH($B88,cf!$A$5:$A$107,0),MATCH(K$6,cf!$B$3:$CO$3,0))</f>
        <v>0</v>
      </c>
      <c r="L88" s="56">
        <f>INDEX(cf!$B$5:$CO$107,MATCH($B88,cf!$A$5:$A$107,0),MATCH(L$6,cf!$B$3:$CO$3,0))</f>
        <v>0</v>
      </c>
      <c r="M88" s="56">
        <f>INDEX(cf!$B$5:$CO$107,MATCH($B88,cf!$A$5:$A$107,0),MATCH(M$6,cf!$B$3:$CO$3,0))</f>
        <v>0</v>
      </c>
      <c r="N88" s="56">
        <f>INDEX(cf!$B$5:$CO$107,MATCH($B88,cf!$A$5:$A$107,0),MATCH(N$6,cf!$B$3:$CO$3,0))</f>
        <v>0</v>
      </c>
      <c r="O88" s="56">
        <f>INDEX(cf!$B$5:$CO$107,MATCH($B88,cf!$A$5:$A$107,0),MATCH(O$6,cf!$B$3:$CO$3,0))</f>
        <v>0</v>
      </c>
      <c r="P88" s="28"/>
      <c r="Q88" s="28"/>
      <c r="R88" s="28"/>
      <c r="S88" s="28"/>
      <c r="T88" s="28"/>
      <c r="U88" s="28"/>
      <c r="V88" s="28"/>
    </row>
    <row r="89" spans="2:22" x14ac:dyDescent="0.3">
      <c r="B89" s="1" t="s">
        <v>169</v>
      </c>
      <c r="E89" s="56">
        <f>INDEX(cf!$B$5:$CO$107,MATCH($B89,cf!$A$5:$A$107,0),MATCH(E$6,cf!$B$3:$CO$3,0))</f>
        <v>-2</v>
      </c>
      <c r="F89" s="56">
        <f>INDEX(cf!$B$5:$CO$107,MATCH($B89,cf!$A$5:$A$107,0),MATCH(F$6,cf!$B$3:$CO$3,0))</f>
        <v>0</v>
      </c>
      <c r="G89" s="56">
        <f>INDEX(cf!$B$5:$CO$107,MATCH($B89,cf!$A$5:$A$107,0),MATCH(G$6,cf!$B$3:$CO$3,0))</f>
        <v>0</v>
      </c>
      <c r="H89" s="56">
        <f>INDEX(cf!$B$5:$CO$107,MATCH($B89,cf!$A$5:$A$107,0),MATCH(H$6,cf!$B$3:$CO$3,0))</f>
        <v>-2</v>
      </c>
      <c r="I89" s="56">
        <f>INDEX(cf!$B$5:$CO$107,MATCH($B89,cf!$A$5:$A$107,0),MATCH(I$6,cf!$B$3:$CO$3,0))</f>
        <v>-2</v>
      </c>
      <c r="J89" s="56">
        <f>INDEX(cf!$B$5:$CO$107,MATCH($B89,cf!$A$5:$A$107,0),MATCH(J$6,cf!$B$3:$CO$3,0))</f>
        <v>0</v>
      </c>
      <c r="K89" s="56">
        <f>INDEX(cf!$B$5:$CO$107,MATCH($B89,cf!$A$5:$A$107,0),MATCH(K$6,cf!$B$3:$CO$3,0))</f>
        <v>0</v>
      </c>
      <c r="L89" s="56">
        <f>INDEX(cf!$B$5:$CO$107,MATCH($B89,cf!$A$5:$A$107,0),MATCH(L$6,cf!$B$3:$CO$3,0))</f>
        <v>0</v>
      </c>
      <c r="M89" s="56">
        <f>INDEX(cf!$B$5:$CO$107,MATCH($B89,cf!$A$5:$A$107,0),MATCH(M$6,cf!$B$3:$CO$3,0))</f>
        <v>0</v>
      </c>
      <c r="N89" s="56">
        <f>INDEX(cf!$B$5:$CO$107,MATCH($B89,cf!$A$5:$A$107,0),MATCH(N$6,cf!$B$3:$CO$3,0))</f>
        <v>0</v>
      </c>
      <c r="O89" s="56">
        <f>INDEX(cf!$B$5:$CO$107,MATCH($B89,cf!$A$5:$A$107,0),MATCH(O$6,cf!$B$3:$CO$3,0))</f>
        <v>0</v>
      </c>
      <c r="P89" s="28">
        <f>P28-O28-O26</f>
        <v>0</v>
      </c>
      <c r="Q89" s="28">
        <f t="shared" ref="Q89" si="157">Q28-P28-P26</f>
        <v>0</v>
      </c>
      <c r="R89" s="28">
        <f t="shared" ref="R89" si="158">R28-Q28-Q26</f>
        <v>0</v>
      </c>
      <c r="S89" s="28">
        <f t="shared" ref="S89" si="159">S28-R28-R26</f>
        <v>0</v>
      </c>
      <c r="T89" s="28">
        <f t="shared" ref="T89" si="160">T28-S28-S26</f>
        <v>0</v>
      </c>
      <c r="U89" s="28">
        <f t="shared" ref="U89:V89" si="161">U28-T28-T26</f>
        <v>0</v>
      </c>
      <c r="V89" s="28">
        <f t="shared" si="161"/>
        <v>0</v>
      </c>
    </row>
    <row r="90" spans="2:22" x14ac:dyDescent="0.3">
      <c r="B90" s="1" t="s">
        <v>172</v>
      </c>
      <c r="E90" s="56">
        <f>INDEX(cf!$B$5:$CO$107,MATCH($B90,cf!$A$5:$A$107,0),MATCH(E$6,cf!$B$3:$CO$3,0))</f>
        <v>0</v>
      </c>
      <c r="F90" s="56">
        <f>INDEX(cf!$B$5:$CO$107,MATCH($B90,cf!$A$5:$A$107,0),MATCH(F$6,cf!$B$3:$CO$3,0))</f>
        <v>0</v>
      </c>
      <c r="G90" s="56">
        <f>INDEX(cf!$B$5:$CO$107,MATCH($B90,cf!$A$5:$A$107,0),MATCH(G$6,cf!$B$3:$CO$3,0))</f>
        <v>-2.9</v>
      </c>
      <c r="H90" s="56">
        <f>INDEX(cf!$B$5:$CO$107,MATCH($B90,cf!$A$5:$A$107,0),MATCH(H$6,cf!$B$3:$CO$3,0))</f>
        <v>-0.4</v>
      </c>
      <c r="I90" s="56">
        <f>INDEX(cf!$B$5:$CO$107,MATCH($B90,cf!$A$5:$A$107,0),MATCH(I$6,cf!$B$3:$CO$3,0))</f>
        <v>-0.5</v>
      </c>
      <c r="J90" s="56">
        <f>INDEX(cf!$B$5:$CO$107,MATCH($B90,cf!$A$5:$A$107,0),MATCH(J$6,cf!$B$3:$CO$3,0))</f>
        <v>-2.2999999999999998</v>
      </c>
      <c r="K90" s="56">
        <f>INDEX(cf!$B$5:$CO$107,MATCH($B90,cf!$A$5:$A$107,0),MATCH(K$6,cf!$B$3:$CO$3,0))</f>
        <v>-2.2999999999999998</v>
      </c>
      <c r="L90" s="56">
        <f>INDEX(cf!$B$5:$CO$107,MATCH($B90,cf!$A$5:$A$107,0),MATCH(L$6,cf!$B$3:$CO$3,0))</f>
        <v>-2.2000000000000002</v>
      </c>
      <c r="M90" s="56">
        <f>INDEX(cf!$B$5:$CO$107,MATCH($B90,cf!$A$5:$A$107,0),MATCH(M$6,cf!$B$3:$CO$3,0))</f>
        <v>-3.1</v>
      </c>
      <c r="N90" s="56">
        <f>INDEX(cf!$B$5:$CO$107,MATCH($B90,cf!$A$5:$A$107,0),MATCH(N$6,cf!$B$3:$CO$3,0))</f>
        <v>-1.5</v>
      </c>
      <c r="O90" s="56">
        <f>INDEX(cf!$B$5:$CO$107,MATCH($B90,cf!$A$5:$A$107,0),MATCH(O$6,cf!$B$3:$CO$3,0))</f>
        <v>-1.5</v>
      </c>
      <c r="P90" s="28">
        <f>P61*-summary!P35</f>
        <v>-6.9240000000000013</v>
      </c>
      <c r="Q90" s="28">
        <f>Q61*-summary!Q35</f>
        <v>-7.1490693213684811</v>
      </c>
      <c r="R90" s="28">
        <f>R61*-summary!R35</f>
        <v>-7.415674778463262</v>
      </c>
      <c r="S90" s="28">
        <f>S61*-summary!S35</f>
        <v>-7.7183225106561926</v>
      </c>
      <c r="T90" s="28">
        <f>T61*-summary!T35</f>
        <v>-8.0531366311413333</v>
      </c>
      <c r="U90" s="28">
        <f>U61*-summary!U35</f>
        <v>-8.4174669589126427</v>
      </c>
      <c r="V90" s="28">
        <f>V61*-summary!V35</f>
        <v>-8.8095954290189642</v>
      </c>
    </row>
    <row r="91" spans="2:22" x14ac:dyDescent="0.3">
      <c r="B91" s="1" t="s">
        <v>46</v>
      </c>
      <c r="E91" s="56">
        <f>E92-SUM(E86:E90)</f>
        <v>2.2999999999999998</v>
      </c>
      <c r="F91" s="56">
        <f t="shared" ref="F91" si="162">F92-SUM(F86:F90)</f>
        <v>-0.3</v>
      </c>
      <c r="G91" s="56">
        <f t="shared" ref="G91" si="163">G92-SUM(G86:G90)</f>
        <v>-0.30000000000000004</v>
      </c>
      <c r="H91" s="56">
        <f t="shared" ref="H91" si="164">H92-SUM(H86:H90)</f>
        <v>-1.5999999999999996</v>
      </c>
      <c r="I91" s="56">
        <f t="shared" ref="I91:J91" si="165">I92-SUM(I86:I90)</f>
        <v>-1.6999999999999993</v>
      </c>
      <c r="J91" s="56">
        <f t="shared" si="165"/>
        <v>-0.5</v>
      </c>
      <c r="K91" s="56">
        <f t="shared" ref="K91:O91" si="166">K92-SUM(K86:K90)</f>
        <v>-0.5</v>
      </c>
      <c r="L91" s="56">
        <f t="shared" si="166"/>
        <v>0</v>
      </c>
      <c r="M91" s="56">
        <f t="shared" si="166"/>
        <v>-0.89999999999999991</v>
      </c>
      <c r="N91" s="56">
        <f t="shared" si="166"/>
        <v>-0.30000000000000004</v>
      </c>
      <c r="O91" s="56">
        <f t="shared" si="166"/>
        <v>-0.89999999999999991</v>
      </c>
      <c r="P91" s="28"/>
      <c r="Q91" s="28"/>
      <c r="R91" s="28"/>
      <c r="S91" s="28"/>
      <c r="T91" s="28"/>
      <c r="U91" s="28"/>
      <c r="V91" s="28"/>
    </row>
    <row r="92" spans="2:22" ht="15" thickBot="1" x14ac:dyDescent="0.35">
      <c r="B92" s="17" t="s">
        <v>174</v>
      </c>
      <c r="C92" s="17"/>
      <c r="D92" s="17"/>
      <c r="E92" s="78">
        <f>INDEX(cf!$B$5:$CO$107,MATCH($B92,cf!$A$5:$A$107,0),MATCH(E$6,cf!$B$3:$CO$3,0))</f>
        <v>0.3</v>
      </c>
      <c r="F92" s="78">
        <f>INDEX(cf!$B$5:$CO$107,MATCH($B92,cf!$A$5:$A$107,0),MATCH(F$6,cf!$B$3:$CO$3,0))</f>
        <v>-0.3</v>
      </c>
      <c r="G92" s="78">
        <f>INDEX(cf!$B$5:$CO$107,MATCH($B92,cf!$A$5:$A$107,0),MATCH(G$6,cf!$B$3:$CO$3,0))</f>
        <v>-1.2</v>
      </c>
      <c r="H92" s="78">
        <f>INDEX(cf!$B$5:$CO$107,MATCH($B92,cf!$A$5:$A$107,0),MATCH(H$6,cf!$B$3:$CO$3,0))</f>
        <v>10.1</v>
      </c>
      <c r="I92" s="78">
        <f>INDEX(cf!$B$5:$CO$107,MATCH($B92,cf!$A$5:$A$107,0),MATCH(I$6,cf!$B$3:$CO$3,0))</f>
        <v>9.9</v>
      </c>
      <c r="J92" s="78">
        <f>INDEX(cf!$B$5:$CO$107,MATCH($B92,cf!$A$5:$A$107,0),MATCH(J$6,cf!$B$3:$CO$3,0))</f>
        <v>-2.8</v>
      </c>
      <c r="K92" s="78">
        <f>INDEX(cf!$B$5:$CO$107,MATCH($B92,cf!$A$5:$A$107,0),MATCH(K$6,cf!$B$3:$CO$3,0))</f>
        <v>-2.8</v>
      </c>
      <c r="L92" s="78">
        <f>INDEX(cf!$B$5:$CO$107,MATCH($B92,cf!$A$5:$A$107,0),MATCH(L$6,cf!$B$3:$CO$3,0))</f>
        <v>-2.2000000000000002</v>
      </c>
      <c r="M92" s="78">
        <f>INDEX(cf!$B$5:$CO$107,MATCH($B92,cf!$A$5:$A$107,0),MATCH(M$6,cf!$B$3:$CO$3,0))</f>
        <v>-4</v>
      </c>
      <c r="N92" s="78">
        <f>INDEX(cf!$B$5:$CO$107,MATCH($B92,cf!$A$5:$A$107,0),MATCH(N$6,cf!$B$3:$CO$3,0))</f>
        <v>-1.8</v>
      </c>
      <c r="O92" s="78">
        <f>INDEX(cf!$B$5:$CO$107,MATCH($B92,cf!$A$5:$A$107,0),MATCH(O$6,cf!$B$3:$CO$3,0))</f>
        <v>-2.4</v>
      </c>
      <c r="P92" s="79">
        <f t="shared" ref="P92:U92" si="167">SUM(P86:P91)</f>
        <v>-6.9240000000000013</v>
      </c>
      <c r="Q92" s="79">
        <f t="shared" si="167"/>
        <v>-7.1490693213684811</v>
      </c>
      <c r="R92" s="79">
        <f t="shared" si="167"/>
        <v>-7.415674778463262</v>
      </c>
      <c r="S92" s="79">
        <f t="shared" si="167"/>
        <v>-7.7183225106561926</v>
      </c>
      <c r="T92" s="79">
        <f t="shared" si="167"/>
        <v>-8.0531366311413333</v>
      </c>
      <c r="U92" s="79">
        <f t="shared" si="167"/>
        <v>-8.4174669589126427</v>
      </c>
      <c r="V92" s="79">
        <f t="shared" ref="V92" si="168">SUM(V86:V91)</f>
        <v>-8.8095954290189642</v>
      </c>
    </row>
    <row r="93" spans="2:22" ht="15" thickTop="1" x14ac:dyDescent="0.3"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28"/>
      <c r="Q93" s="28"/>
      <c r="R93" s="28"/>
      <c r="S93" s="28"/>
      <c r="T93" s="28"/>
      <c r="U93" s="28"/>
      <c r="V93" s="28"/>
    </row>
    <row r="94" spans="2:22" ht="15" thickBot="1" x14ac:dyDescent="0.35">
      <c r="B94" s="17" t="s">
        <v>177</v>
      </c>
      <c r="C94" s="17"/>
      <c r="D94" s="17"/>
      <c r="E94" s="78">
        <f>INDEX(cf!$B$5:$CO$107,MATCH($B94,cf!$A$5:$A$107,0),MATCH(E$6,cf!$B$3:$CO$3,0))</f>
        <v>7.5</v>
      </c>
      <c r="F94" s="78">
        <f>INDEX(cf!$B$5:$CO$107,MATCH($B94,cf!$A$5:$A$107,0),MATCH(F$6,cf!$B$3:$CO$3,0))</f>
        <v>14.5</v>
      </c>
      <c r="G94" s="78">
        <f>INDEX(cf!$B$5:$CO$107,MATCH($B94,cf!$A$5:$A$107,0),MATCH(G$6,cf!$B$3:$CO$3,0))</f>
        <v>12.7</v>
      </c>
      <c r="H94" s="78">
        <f>INDEX(cf!$B$5:$CO$107,MATCH($B94,cf!$A$5:$A$107,0),MATCH(H$6,cf!$B$3:$CO$3,0))</f>
        <v>13.6</v>
      </c>
      <c r="I94" s="78">
        <f>INDEX(cf!$B$5:$CO$107,MATCH($B94,cf!$A$5:$A$107,0),MATCH(I$6,cf!$B$3:$CO$3,0))</f>
        <v>13.6</v>
      </c>
      <c r="J94" s="78">
        <f>INDEX(cf!$B$5:$CO$107,MATCH($B94,cf!$A$5:$A$107,0),MATCH(J$6,cf!$B$3:$CO$3,0))</f>
        <v>49.2</v>
      </c>
      <c r="K94" s="78">
        <f>INDEX(cf!$B$5:$CO$107,MATCH($B94,cf!$A$5:$A$107,0),MATCH(K$6,cf!$B$3:$CO$3,0))</f>
        <v>22.7</v>
      </c>
      <c r="L94" s="78">
        <f>INDEX(cf!$B$5:$CO$107,MATCH($B94,cf!$A$5:$A$107,0),MATCH(L$6,cf!$B$3:$CO$3,0))</f>
        <v>38.4</v>
      </c>
      <c r="M94" s="78">
        <f>INDEX(cf!$B$5:$CO$107,MATCH($B94,cf!$A$5:$A$107,0),MATCH(M$6,cf!$B$3:$CO$3,0))</f>
        <v>26.8</v>
      </c>
      <c r="N94" s="78">
        <f>INDEX(cf!$B$5:$CO$107,MATCH($B94,cf!$A$5:$A$107,0),MATCH(N$6,cf!$B$3:$CO$3,0))</f>
        <v>37.9</v>
      </c>
      <c r="O94" s="78">
        <f>INDEX(cf!$B$5:$CO$107,MATCH($B94,cf!$A$5:$A$107,0),MATCH(O$6,cf!$B$3:$CO$3,0))</f>
        <v>37.9</v>
      </c>
      <c r="P94" s="79">
        <f t="shared" ref="P94:Q94" si="169">O97</f>
        <v>29</v>
      </c>
      <c r="Q94" s="79">
        <f t="shared" si="169"/>
        <v>50.149263431809842</v>
      </c>
      <c r="R94" s="79">
        <f t="shared" ref="R94" si="170">Q97</f>
        <v>51.631790540584852</v>
      </c>
      <c r="S94" s="79">
        <f t="shared" ref="S94" si="171">R97</f>
        <v>53.317145350844612</v>
      </c>
      <c r="T94" s="79">
        <f t="shared" ref="T94" si="172">S97</f>
        <v>55.18329391115185</v>
      </c>
      <c r="U94" s="79">
        <f t="shared" ref="U94:V94" si="173">T97</f>
        <v>57.215144406625321</v>
      </c>
      <c r="V94" s="79">
        <f t="shared" si="173"/>
        <v>59.402883307235598</v>
      </c>
    </row>
    <row r="95" spans="2:22" ht="15" thickTop="1" x14ac:dyDescent="0.3">
      <c r="B95" s="1" t="s">
        <v>175</v>
      </c>
      <c r="E95" s="56">
        <f>E92+E85+E78</f>
        <v>7</v>
      </c>
      <c r="F95" s="56">
        <f t="shared" ref="F95:H95" si="174">F92+F85+F78</f>
        <v>-1.8</v>
      </c>
      <c r="G95" s="56">
        <f t="shared" si="174"/>
        <v>0.79999999999999982</v>
      </c>
      <c r="H95" s="56">
        <f t="shared" si="174"/>
        <v>18.5</v>
      </c>
      <c r="I95" s="56">
        <f t="shared" ref="I95:J95" si="175">I92+I85+I78</f>
        <v>35.6</v>
      </c>
      <c r="J95" s="56">
        <f t="shared" si="175"/>
        <v>-11.2</v>
      </c>
      <c r="K95" s="56">
        <f t="shared" ref="K95:O95" si="176">K92+K85+K78</f>
        <v>4.1000000000000014</v>
      </c>
      <c r="L95" s="56">
        <f t="shared" si="176"/>
        <v>5.3000000000000007</v>
      </c>
      <c r="M95" s="56">
        <f t="shared" si="176"/>
        <v>11.1</v>
      </c>
      <c r="N95" s="56">
        <f t="shared" si="176"/>
        <v>13.7</v>
      </c>
      <c r="O95" s="56">
        <f t="shared" si="176"/>
        <v>-8.8999999999999986</v>
      </c>
      <c r="P95" s="28">
        <f t="shared" ref="P95:U95" si="177">SUM(P92,P85,P78)</f>
        <v>21.149263431809842</v>
      </c>
      <c r="Q95" s="28">
        <f t="shared" si="177"/>
        <v>1.4825271087750096</v>
      </c>
      <c r="R95" s="28">
        <f t="shared" si="177"/>
        <v>1.6853548102597582</v>
      </c>
      <c r="S95" s="28">
        <f t="shared" si="177"/>
        <v>1.8661485603072343</v>
      </c>
      <c r="T95" s="28">
        <f t="shared" si="177"/>
        <v>2.0318504954734706</v>
      </c>
      <c r="U95" s="28">
        <f t="shared" si="177"/>
        <v>2.1877389006102774</v>
      </c>
      <c r="V95" s="28">
        <f t="shared" ref="V95" si="178">SUM(V92,V85,V78)</f>
        <v>2.337847755913149</v>
      </c>
    </row>
    <row r="96" spans="2:22" x14ac:dyDescent="0.3">
      <c r="B96" s="1" t="s">
        <v>178</v>
      </c>
      <c r="E96" s="56">
        <f>INDEX(cf!$B$5:$CO$107,MATCH($B96,cf!$A$5:$A$107,0),MATCH(E$6,cf!$B$3:$CO$3,0))</f>
        <v>0</v>
      </c>
      <c r="F96" s="56">
        <f>INDEX(cf!$B$5:$CO$107,MATCH($B96,cf!$A$5:$A$107,0),MATCH(F$6,cf!$B$3:$CO$3,0))</f>
        <v>0</v>
      </c>
      <c r="G96" s="56">
        <f>INDEX(cf!$B$5:$CO$107,MATCH($B96,cf!$A$5:$A$107,0),MATCH(G$6,cf!$B$3:$CO$3,0))</f>
        <v>0</v>
      </c>
      <c r="H96" s="56">
        <f>INDEX(cf!$B$5:$CO$107,MATCH($B96,cf!$A$5:$A$107,0),MATCH(H$6,cf!$B$3:$CO$3,0))</f>
        <v>0</v>
      </c>
      <c r="I96" s="56">
        <f>INDEX(cf!$B$5:$CO$107,MATCH($B96,cf!$A$5:$A$107,0),MATCH(I$6,cf!$B$3:$CO$3,0))</f>
        <v>0</v>
      </c>
      <c r="J96" s="56">
        <f>INDEX(cf!$B$5:$CO$107,MATCH($B96,cf!$A$5:$A$107,0),MATCH(J$6,cf!$B$3:$CO$3,0))</f>
        <v>0</v>
      </c>
      <c r="K96" s="56">
        <f>INDEX(cf!$B$5:$CO$107,MATCH($B96,cf!$A$5:$A$107,0),MATCH(K$6,cf!$B$3:$CO$3,0))</f>
        <v>0</v>
      </c>
      <c r="L96" s="56">
        <f>INDEX(cf!$B$5:$CO$107,MATCH($B96,cf!$A$5:$A$107,0),MATCH(L$6,cf!$B$3:$CO$3,0))</f>
        <v>0</v>
      </c>
      <c r="M96" s="56">
        <f>INDEX(cf!$B$5:$CO$107,MATCH($B96,cf!$A$5:$A$107,0),MATCH(M$6,cf!$B$3:$CO$3,0))</f>
        <v>0</v>
      </c>
      <c r="N96" s="56">
        <f>INDEX(cf!$B$5:$CO$107,MATCH($B96,cf!$A$5:$A$107,0),MATCH(N$6,cf!$B$3:$CO$3,0))</f>
        <v>0</v>
      </c>
      <c r="O96" s="56">
        <f>INDEX(cf!$B$5:$CO$107,MATCH($B96,cf!$A$5:$A$107,0),MATCH(O$6,cf!$B$3:$CO$3,0))</f>
        <v>0</v>
      </c>
      <c r="P96" s="28"/>
      <c r="Q96" s="28"/>
      <c r="R96" s="28"/>
      <c r="S96" s="28"/>
      <c r="T96" s="28"/>
      <c r="U96" s="28"/>
      <c r="V96" s="28"/>
    </row>
    <row r="97" spans="2:22" ht="15" thickBot="1" x14ac:dyDescent="0.35">
      <c r="B97" s="17" t="s">
        <v>179</v>
      </c>
      <c r="C97" s="17"/>
      <c r="D97" s="17"/>
      <c r="E97" s="78">
        <f>SUM(E94:E96)</f>
        <v>14.5</v>
      </c>
      <c r="F97" s="78">
        <f t="shared" ref="F97:H97" si="179">SUM(F94:F96)</f>
        <v>12.7</v>
      </c>
      <c r="G97" s="78">
        <f t="shared" si="179"/>
        <v>13.5</v>
      </c>
      <c r="H97" s="78">
        <f t="shared" si="179"/>
        <v>32.1</v>
      </c>
      <c r="I97" s="78">
        <f t="shared" ref="I97:J97" si="180">SUM(I94:I96)</f>
        <v>49.2</v>
      </c>
      <c r="J97" s="78">
        <f t="shared" si="180"/>
        <v>38</v>
      </c>
      <c r="K97" s="78">
        <f t="shared" ref="K97:O97" si="181">SUM(K94:K96)</f>
        <v>26.8</v>
      </c>
      <c r="L97" s="78">
        <f t="shared" si="181"/>
        <v>43.7</v>
      </c>
      <c r="M97" s="78">
        <f t="shared" si="181"/>
        <v>37.9</v>
      </c>
      <c r="N97" s="78">
        <f t="shared" si="181"/>
        <v>51.599999999999994</v>
      </c>
      <c r="O97" s="78">
        <f t="shared" si="181"/>
        <v>29</v>
      </c>
      <c r="P97" s="79">
        <f t="shared" ref="P97:U97" si="182">SUM(P94:P96)</f>
        <v>50.149263431809842</v>
      </c>
      <c r="Q97" s="79">
        <f t="shared" si="182"/>
        <v>51.631790540584852</v>
      </c>
      <c r="R97" s="79">
        <f t="shared" si="182"/>
        <v>53.317145350844612</v>
      </c>
      <c r="S97" s="79">
        <f t="shared" si="182"/>
        <v>55.18329391115185</v>
      </c>
      <c r="T97" s="79">
        <f t="shared" si="182"/>
        <v>57.215144406625321</v>
      </c>
      <c r="U97" s="79">
        <f t="shared" si="182"/>
        <v>59.402883307235598</v>
      </c>
      <c r="V97" s="79">
        <f t="shared" ref="V97" si="183">SUM(V94:V96)</f>
        <v>61.740731063148743</v>
      </c>
    </row>
    <row r="98" spans="2:22" ht="15" thickTop="1" x14ac:dyDescent="0.3">
      <c r="E98" s="85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</row>
    <row r="99" spans="2:22" x14ac:dyDescent="0.3">
      <c r="B99" s="21" t="s">
        <v>42</v>
      </c>
      <c r="D99" s="70" t="s">
        <v>179</v>
      </c>
      <c r="E99" s="84">
        <f>INDEX(cf!$B$5:$CO$107,MATCH($D99,cf!$A$5:$A$107,0),MATCH(E$6,cf!$B$3:$CO$3,0))</f>
        <v>14.5</v>
      </c>
      <c r="F99" s="84">
        <f>INDEX(cf!$B$5:$CO$107,MATCH($D99,cf!$A$5:$A$107,0),MATCH(F$6,cf!$B$3:$CO$3,0))</f>
        <v>12.7</v>
      </c>
      <c r="G99" s="84">
        <f>INDEX(cf!$B$5:$CO$107,MATCH($D99,cf!$A$5:$A$107,0),MATCH(G$6,cf!$B$3:$CO$3,0))</f>
        <v>13.6</v>
      </c>
      <c r="H99" s="84">
        <f>INDEX(cf!$B$5:$CO$107,MATCH($D99,cf!$A$5:$A$107,0),MATCH(H$6,cf!$B$3:$CO$3,0))</f>
        <v>32.1</v>
      </c>
      <c r="I99" s="84">
        <f>INDEX(cf!$B$5:$CO$107,MATCH($D99,cf!$A$5:$A$107,0),MATCH(I$6,cf!$B$3:$CO$3,0))</f>
        <v>49.2</v>
      </c>
      <c r="J99" s="84">
        <f>INDEX(cf!$B$5:$CO$107,MATCH($D99,cf!$A$5:$A$107,0),MATCH(J$6,cf!$B$3:$CO$3,0))</f>
        <v>38</v>
      </c>
      <c r="K99" s="84">
        <f>INDEX(cf!$B$5:$CO$107,MATCH($D99,cf!$A$5:$A$107,0),MATCH(K$6,cf!$B$3:$CO$3,0))</f>
        <v>26.8</v>
      </c>
      <c r="L99" s="84">
        <f>INDEX(cf!$B$5:$CO$107,MATCH($D99,cf!$A$5:$A$107,0),MATCH(L$6,cf!$B$3:$CO$3,0))</f>
        <v>43.7</v>
      </c>
      <c r="M99" s="84">
        <f>INDEX(cf!$B$5:$CO$107,MATCH($D99,cf!$A$5:$A$107,0),MATCH(M$6,cf!$B$3:$CO$3,0))</f>
        <v>37.9</v>
      </c>
      <c r="N99" s="84">
        <f>INDEX(cf!$B$5:$CO$107,MATCH($D99,cf!$A$5:$A$107,0),MATCH(N$6,cf!$B$3:$CO$3,0))</f>
        <v>51.6</v>
      </c>
      <c r="O99" s="84">
        <f>INDEX(cf!$B$5:$CO$107,MATCH($D99,cf!$A$5:$A$107,0),MATCH(O$6,cf!$B$3:$CO$3,0))</f>
        <v>29</v>
      </c>
      <c r="P99" s="84">
        <f t="shared" ref="P99:U99" si="184">P12</f>
        <v>50.149263431809842</v>
      </c>
      <c r="Q99" s="84">
        <f t="shared" si="184"/>
        <v>51.631790540584852</v>
      </c>
      <c r="R99" s="84">
        <f t="shared" si="184"/>
        <v>53.317145350844612</v>
      </c>
      <c r="S99" s="84">
        <f t="shared" si="184"/>
        <v>55.18329391115185</v>
      </c>
      <c r="T99" s="84">
        <f t="shared" si="184"/>
        <v>57.215144406625321</v>
      </c>
      <c r="U99" s="84">
        <f t="shared" si="184"/>
        <v>59.402883307235598</v>
      </c>
      <c r="V99" s="84">
        <f t="shared" ref="V99" si="185">V12</f>
        <v>61.740731063148743</v>
      </c>
    </row>
    <row r="100" spans="2:22" x14ac:dyDescent="0.3">
      <c r="B100" s="21" t="s">
        <v>24</v>
      </c>
      <c r="E100" s="30">
        <f>ROUND(E99-E97,0)</f>
        <v>0</v>
      </c>
      <c r="F100" s="30">
        <f t="shared" ref="F100:H100" si="186">ROUND(F99-F97,0)</f>
        <v>0</v>
      </c>
      <c r="G100" s="30">
        <f t="shared" si="186"/>
        <v>0</v>
      </c>
      <c r="H100" s="30">
        <f t="shared" si="186"/>
        <v>0</v>
      </c>
      <c r="I100" s="30">
        <f t="shared" ref="I100:J100" si="187">ROUND(I99-I97,0)</f>
        <v>0</v>
      </c>
      <c r="J100" s="30">
        <f t="shared" si="187"/>
        <v>0</v>
      </c>
      <c r="K100" s="30">
        <f t="shared" ref="K100:O100" si="188">ROUND(K99-K97,0)</f>
        <v>0</v>
      </c>
      <c r="L100" s="30">
        <f t="shared" si="188"/>
        <v>0</v>
      </c>
      <c r="M100" s="30">
        <f t="shared" si="188"/>
        <v>0</v>
      </c>
      <c r="N100" s="30">
        <f t="shared" si="188"/>
        <v>0</v>
      </c>
      <c r="O100" s="30">
        <f t="shared" si="188"/>
        <v>0</v>
      </c>
      <c r="P100" s="30">
        <f t="shared" ref="P100:U100" si="189">ROUND(P99-P97,0)</f>
        <v>0</v>
      </c>
      <c r="Q100" s="30">
        <f t="shared" si="189"/>
        <v>0</v>
      </c>
      <c r="R100" s="30">
        <f t="shared" si="189"/>
        <v>0</v>
      </c>
      <c r="S100" s="30">
        <f t="shared" si="189"/>
        <v>0</v>
      </c>
      <c r="T100" s="30">
        <f t="shared" si="189"/>
        <v>0</v>
      </c>
      <c r="U100" s="30">
        <f t="shared" si="189"/>
        <v>0</v>
      </c>
      <c r="V100" s="30">
        <f t="shared" ref="V100" si="190">ROUND(V99-V97,0)</f>
        <v>0</v>
      </c>
    </row>
  </sheetData>
  <sheetProtection algorithmName="SHA-512" hashValue="8KB+cewiCqIz0j0PosnY+q/Gw+n5fSTEJfng/57+pfd3UgQM4VzaYxV8+0Hbco6KMLBSimdbxG98OwCvHadjnA==" saltValue="7BuEopfahOsfWfvp6J2NiA==" spinCount="100000" sheet="1" selectLockedCells="1"/>
  <conditionalFormatting sqref="E46:V46 E69:V69 E100:V100">
    <cfRule type="cellIs" dxfId="4" priority="46" operator="equal">
      <formula>0</formula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FD2E710A-171D-47AC-95F6-04A30387347E}">
            <xm:f>D$6&gt;cover!$E$13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D72 E58:V58 E95:V96 E50:V51 E53:V54 E79:V84 E60:V60 E56:V56 E64:V64 E66:V66 E73:V77 E36:V40 E42:V43 E17:V21 E12:V15 E28:V31 E86:V91 E24:V26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D5BE-0D9E-4093-8F12-2222BD290101}">
  <sheetPr>
    <tabColor theme="4" tint="0.79998168889431442"/>
  </sheetPr>
  <dimension ref="A1:P10"/>
  <sheetViews>
    <sheetView workbookViewId="0">
      <selection activeCell="E10" sqref="E10"/>
    </sheetView>
  </sheetViews>
  <sheetFormatPr defaultColWidth="9.109375" defaultRowHeight="14.4" x14ac:dyDescent="0.3"/>
  <cols>
    <col min="1" max="1" width="2.6640625" style="1" customWidth="1"/>
    <col min="2" max="5" width="12.6640625" style="1" customWidth="1"/>
    <col min="6" max="6" width="12.6640625" style="8" customWidth="1"/>
    <col min="7" max="52" width="12.6640625" style="1" customWidth="1"/>
    <col min="53" max="16384" width="9.109375" style="1"/>
  </cols>
  <sheetData>
    <row r="1" spans="1:16" ht="33.6" x14ac:dyDescent="0.65">
      <c r="B1" s="65" t="s">
        <v>130</v>
      </c>
    </row>
    <row r="2" spans="1:16" s="15" customFormat="1" ht="15" thickBot="1" x14ac:dyDescent="0.35">
      <c r="A2" s="13"/>
      <c r="B2" s="14" t="str">
        <f>UPPER(cover!E8&amp;" - "&amp;DAY(cover!E12)&amp;"/"&amp;MONTH(cover!E12)&amp;"/"&amp;YEAR(cover!E12))</f>
        <v>ARGENTEX GROUP PLC - 9/5/2023</v>
      </c>
      <c r="F2" s="13"/>
    </row>
    <row r="3" spans="1:16" ht="15" thickTop="1" x14ac:dyDescent="0.3">
      <c r="B3" s="25" t="str">
        <f>IF($E$10&lt;&gt;0,"**ERROR**","")</f>
        <v/>
      </c>
    </row>
    <row r="4" spans="1:16" s="3" customFormat="1" x14ac:dyDescent="0.3">
      <c r="A4" s="5"/>
      <c r="B4" s="2" t="s">
        <v>25</v>
      </c>
      <c r="F4" s="4"/>
    </row>
    <row r="6" spans="1:16" x14ac:dyDescent="0.3">
      <c r="B6" s="1" t="s">
        <v>26</v>
      </c>
      <c r="E6" s="23">
        <f>ROUND(SUM('detailed-financials'!E46:K46),0)</f>
        <v>0</v>
      </c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3">
      <c r="B7" s="1" t="s">
        <v>27</v>
      </c>
      <c r="E7" s="23">
        <f>ROUND(SUM('detailed-financials'!E69:K69),0)</f>
        <v>0</v>
      </c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3">
      <c r="B8" s="1" t="s">
        <v>28</v>
      </c>
      <c r="E8" s="23">
        <f>ROUND(SUM('detailed-financials'!E100:K100),0)</f>
        <v>0</v>
      </c>
      <c r="F8" s="20"/>
      <c r="G8" s="19"/>
      <c r="H8" s="19"/>
      <c r="I8" s="19"/>
      <c r="J8" s="19"/>
      <c r="K8" s="19"/>
      <c r="L8" s="19"/>
      <c r="M8" s="19"/>
      <c r="N8" s="19"/>
      <c r="O8" s="19"/>
      <c r="P8" s="19"/>
    </row>
    <row r="10" spans="1:16" x14ac:dyDescent="0.3">
      <c r="B10" s="21" t="s">
        <v>24</v>
      </c>
      <c r="E10" s="23">
        <f>SUM(E6:E8)</f>
        <v>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</sheetData>
  <sheetProtection selectLockedCells="1" selectUnlockedCells="1"/>
  <conditionalFormatting sqref="E6:E8">
    <cfRule type="cellIs" dxfId="2" priority="2" operator="equal">
      <formula>0</formula>
    </cfRule>
  </conditionalFormatting>
  <conditionalFormatting sqref="E10">
    <cfRule type="cellIs" dxfId="1" priority="1" operator="equal">
      <formula>0</formula>
    </cfRule>
  </conditionalFormatting>
  <conditionalFormatting sqref="F10:P10">
    <cfRule type="cellIs" dxfId="0" priority="3" operator="notEqual">
      <formula>"OK"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E03B-BD75-4287-81A8-0D85D722E39E}">
  <sheetPr>
    <tabColor theme="6" tint="0.59999389629810485"/>
  </sheetPr>
  <dimension ref="A1"/>
  <sheetViews>
    <sheetView workbookViewId="0">
      <selection activeCell="M4" sqref="M4"/>
    </sheetView>
  </sheetViews>
  <sheetFormatPr defaultRowHeight="14.4" x14ac:dyDescent="0.3"/>
  <cols>
    <col min="1" max="16384" width="8.88671875" style="69"/>
  </cols>
  <sheetData/>
  <sheetProtection algorithmName="SHA-512" hashValue="QD73bU43VxA40fkWmJ7CAMpCeiRb5afZuLjIhDtTaALZrl1z38/wPpTsMFVWACY30mwHVngA0G+iihPUKVZjSw==" saltValue="VmuHydAPsLxrpnBkxx6umA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E077A-DC99-4B90-B66F-BAB7DCE72D01}">
  <sheetPr>
    <tabColor theme="6" tint="0.59999389629810485"/>
  </sheetPr>
  <dimension ref="A1:G14"/>
  <sheetViews>
    <sheetView workbookViewId="0">
      <selection activeCell="J6" sqref="J6"/>
    </sheetView>
  </sheetViews>
  <sheetFormatPr defaultRowHeight="14.4" x14ac:dyDescent="0.3"/>
  <cols>
    <col min="1" max="1" width="23.21875" bestFit="1" customWidth="1"/>
    <col min="2" max="2" width="9.33203125" bestFit="1" customWidth="1"/>
    <col min="3" max="3" width="9" bestFit="1" customWidth="1"/>
    <col min="4" max="4" width="9.33203125" bestFit="1" customWidth="1"/>
    <col min="5" max="5" width="9" bestFit="1" customWidth="1"/>
    <col min="6" max="6" width="9.33203125" bestFit="1" customWidth="1"/>
    <col min="7" max="7" width="9" bestFit="1" customWidth="1"/>
  </cols>
  <sheetData>
    <row r="1" spans="1:7" x14ac:dyDescent="0.3">
      <c r="A1" t="s">
        <v>133</v>
      </c>
      <c r="B1">
        <v>2023</v>
      </c>
      <c r="D1">
        <v>2024</v>
      </c>
      <c r="F1">
        <v>2025</v>
      </c>
    </row>
    <row r="2" spans="1:7" x14ac:dyDescent="0.3">
      <c r="A2" t="s">
        <v>134</v>
      </c>
      <c r="B2" s="67">
        <v>50.4</v>
      </c>
      <c r="C2" s="68">
        <v>0.46100000000000002</v>
      </c>
      <c r="D2" s="67">
        <v>60</v>
      </c>
      <c r="E2" s="68">
        <v>0.19</v>
      </c>
      <c r="F2" s="67">
        <v>74</v>
      </c>
      <c r="G2" s="68">
        <v>0.23300000000000001</v>
      </c>
    </row>
    <row r="3" spans="1:7" x14ac:dyDescent="0.3">
      <c r="A3" t="s">
        <v>36</v>
      </c>
      <c r="B3" s="67">
        <v>14.1</v>
      </c>
      <c r="C3" s="68">
        <v>6.0299999999999999E-2</v>
      </c>
      <c r="D3" s="67">
        <v>17.5</v>
      </c>
      <c r="E3" s="68">
        <v>0.24099999999999999</v>
      </c>
      <c r="F3" s="67">
        <v>22.8</v>
      </c>
      <c r="G3" s="68">
        <v>0.3</v>
      </c>
    </row>
    <row r="4" spans="1:7" x14ac:dyDescent="0.3">
      <c r="A4" t="s">
        <v>38</v>
      </c>
      <c r="B4" s="67">
        <v>11.6</v>
      </c>
      <c r="C4" s="68">
        <v>7.4300000000000005E-2</v>
      </c>
      <c r="D4" s="67">
        <v>13.8</v>
      </c>
      <c r="E4" s="68">
        <v>0.19</v>
      </c>
      <c r="F4" s="67">
        <v>18.5</v>
      </c>
      <c r="G4" s="68">
        <v>0.34100000000000003</v>
      </c>
    </row>
    <row r="5" spans="1:7" x14ac:dyDescent="0.3">
      <c r="A5" t="s">
        <v>135</v>
      </c>
      <c r="B5" s="67">
        <v>11.2</v>
      </c>
      <c r="C5" s="68">
        <v>7.7100000000000002E-2</v>
      </c>
      <c r="D5" s="67">
        <v>13.4</v>
      </c>
      <c r="E5" s="68">
        <v>0.19600000000000001</v>
      </c>
      <c r="F5" s="67">
        <v>18.100000000000001</v>
      </c>
      <c r="G5" s="68">
        <v>0.35099999999999998</v>
      </c>
    </row>
    <row r="6" spans="1:7" x14ac:dyDescent="0.3">
      <c r="A6" t="s">
        <v>137</v>
      </c>
      <c r="B6" s="67" t="s">
        <v>136</v>
      </c>
      <c r="C6" s="68"/>
      <c r="D6" s="67" t="s">
        <v>136</v>
      </c>
      <c r="E6" s="68"/>
      <c r="F6" s="67" t="s">
        <v>136</v>
      </c>
      <c r="G6" s="68"/>
    </row>
    <row r="7" spans="1:7" x14ac:dyDescent="0.3">
      <c r="A7" t="s">
        <v>291</v>
      </c>
      <c r="B7" s="67">
        <v>8</v>
      </c>
      <c r="C7" s="68">
        <v>0.14299999999999999</v>
      </c>
      <c r="D7" s="67">
        <v>9.0399999999999991</v>
      </c>
      <c r="E7" s="68">
        <v>0.13</v>
      </c>
      <c r="F7" s="67">
        <v>12</v>
      </c>
      <c r="G7" s="68">
        <v>0.32500000000000001</v>
      </c>
    </row>
    <row r="8" spans="1:7" x14ac:dyDescent="0.3">
      <c r="A8" t="s">
        <v>292</v>
      </c>
      <c r="B8" s="67">
        <v>2.5</v>
      </c>
      <c r="C8" s="68">
        <v>0.25</v>
      </c>
      <c r="D8" s="67">
        <v>3</v>
      </c>
      <c r="E8" s="68">
        <v>0.2</v>
      </c>
      <c r="F8" s="67">
        <v>3.5</v>
      </c>
      <c r="G8" s="68">
        <v>0.16700000000000001</v>
      </c>
    </row>
    <row r="9" spans="1:7" x14ac:dyDescent="0.3">
      <c r="A9" t="s">
        <v>138</v>
      </c>
      <c r="B9" s="67" t="s">
        <v>136</v>
      </c>
      <c r="C9" s="68"/>
      <c r="D9" s="67" t="s">
        <v>136</v>
      </c>
      <c r="E9" s="68"/>
      <c r="F9" s="67" t="s">
        <v>136</v>
      </c>
      <c r="G9" s="68"/>
    </row>
    <row r="10" spans="1:7" x14ac:dyDescent="0.3">
      <c r="A10" t="s">
        <v>139</v>
      </c>
      <c r="B10" s="67">
        <v>12.4</v>
      </c>
      <c r="C10" s="68">
        <v>-0.1237</v>
      </c>
      <c r="D10" s="67">
        <v>11.3</v>
      </c>
      <c r="E10" s="68">
        <v>-9.5600000000000004E-2</v>
      </c>
      <c r="F10" s="67">
        <v>14.6</v>
      </c>
      <c r="G10" s="68">
        <v>0.29599999999999999</v>
      </c>
    </row>
    <row r="11" spans="1:7" x14ac:dyDescent="0.3">
      <c r="A11" t="s">
        <v>140</v>
      </c>
      <c r="B11" s="67">
        <v>43</v>
      </c>
      <c r="C11" s="68"/>
      <c r="D11" s="67">
        <v>48</v>
      </c>
      <c r="E11" s="68">
        <v>0.115</v>
      </c>
      <c r="F11" s="67">
        <v>55.7</v>
      </c>
      <c r="G11" s="68">
        <v>0.161</v>
      </c>
    </row>
    <row r="12" spans="1:7" x14ac:dyDescent="0.3">
      <c r="A12" t="s">
        <v>141</v>
      </c>
      <c r="B12" s="67" t="s">
        <v>136</v>
      </c>
      <c r="C12" s="68"/>
      <c r="D12" s="67" t="s">
        <v>136</v>
      </c>
      <c r="E12" s="68"/>
      <c r="F12" s="67" t="s">
        <v>136</v>
      </c>
      <c r="G12" s="67"/>
    </row>
    <row r="13" spans="1:7" x14ac:dyDescent="0.3">
      <c r="A13" t="s">
        <v>142</v>
      </c>
      <c r="B13" s="67" t="s">
        <v>136</v>
      </c>
      <c r="C13" s="68"/>
      <c r="D13" s="67" t="s">
        <v>136</v>
      </c>
      <c r="E13" s="68"/>
      <c r="F13" s="67" t="s">
        <v>136</v>
      </c>
      <c r="G13" s="67"/>
    </row>
    <row r="14" spans="1:7" x14ac:dyDescent="0.3">
      <c r="B14" s="67"/>
      <c r="C14" s="67"/>
      <c r="D14" s="67"/>
      <c r="E14" s="67"/>
      <c r="F14" s="67"/>
      <c r="G14" s="67"/>
    </row>
  </sheetData>
  <sheetProtection algorithmName="SHA-512" hashValue="75OLAZonNi/AZN/ZkhwO/9Y4FNSHJK/LXCne4PhblADVJh8hWFl9CKOTFVliLNi0vprZanYGtep5gZvE0IPT1w==" saltValue="riwJxpikTHSOAXrOeP/jDg==" spinCount="100000" sheet="1"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5C48-F607-49CE-93AC-C793C8ABBDEA}">
  <sheetPr>
    <tabColor theme="6" tint="0.59999389629810485"/>
  </sheetPr>
  <dimension ref="A2:X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3" sqref="H13"/>
    </sheetView>
  </sheetViews>
  <sheetFormatPr defaultRowHeight="14.4" x14ac:dyDescent="0.3"/>
  <cols>
    <col min="1" max="1" width="30.6640625" bestFit="1" customWidth="1"/>
    <col min="2" max="24" width="11.109375" bestFit="1" customWidth="1"/>
  </cols>
  <sheetData>
    <row r="2" spans="1:24" x14ac:dyDescent="0.3">
      <c r="A2" t="s">
        <v>133</v>
      </c>
      <c r="B2">
        <v>2017</v>
      </c>
      <c r="C2">
        <v>2018</v>
      </c>
      <c r="D2">
        <v>2019</v>
      </c>
      <c r="E2">
        <v>2020</v>
      </c>
      <c r="F2">
        <v>2020</v>
      </c>
      <c r="G2">
        <v>2021</v>
      </c>
      <c r="H2">
        <v>2021</v>
      </c>
      <c r="I2">
        <v>2022</v>
      </c>
      <c r="J2">
        <v>2022</v>
      </c>
      <c r="K2">
        <v>2022</v>
      </c>
      <c r="L2">
        <v>2022</v>
      </c>
    </row>
    <row r="3" spans="1:24" x14ac:dyDescent="0.3">
      <c r="A3" t="s">
        <v>143</v>
      </c>
      <c r="B3" s="66">
        <v>42825</v>
      </c>
      <c r="C3" s="66">
        <v>43190</v>
      </c>
      <c r="D3" s="66">
        <v>43555</v>
      </c>
      <c r="E3" s="66">
        <v>43738</v>
      </c>
      <c r="F3" s="66">
        <v>43921</v>
      </c>
      <c r="G3" s="66">
        <v>44104</v>
      </c>
      <c r="H3" s="66">
        <v>44286</v>
      </c>
      <c r="I3" s="66">
        <v>44469</v>
      </c>
      <c r="J3" s="66">
        <v>44651</v>
      </c>
      <c r="K3" s="66">
        <v>44834</v>
      </c>
      <c r="L3" s="66">
        <v>44926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x14ac:dyDescent="0.3">
      <c r="A4" t="s">
        <v>144</v>
      </c>
      <c r="B4" t="s">
        <v>282</v>
      </c>
      <c r="C4" t="s">
        <v>282</v>
      </c>
      <c r="D4" t="s">
        <v>282</v>
      </c>
      <c r="E4" t="s">
        <v>304</v>
      </c>
      <c r="F4" t="s">
        <v>282</v>
      </c>
      <c r="G4" t="s">
        <v>304</v>
      </c>
      <c r="H4" t="s">
        <v>282</v>
      </c>
      <c r="I4" t="s">
        <v>304</v>
      </c>
      <c r="J4" t="s">
        <v>282</v>
      </c>
      <c r="K4" t="s">
        <v>304</v>
      </c>
      <c r="L4" t="s">
        <v>310</v>
      </c>
    </row>
    <row r="5" spans="1:24" x14ac:dyDescent="0.3">
      <c r="A5" t="s">
        <v>145</v>
      </c>
    </row>
    <row r="6" spans="1:24" x14ac:dyDescent="0.3">
      <c r="A6" t="s">
        <v>246</v>
      </c>
    </row>
    <row r="7" spans="1:24" x14ac:dyDescent="0.3">
      <c r="A7" t="s">
        <v>134</v>
      </c>
      <c r="B7">
        <v>10.6</v>
      </c>
      <c r="C7">
        <v>13.2</v>
      </c>
      <c r="D7">
        <v>21.9</v>
      </c>
      <c r="E7">
        <v>13.8</v>
      </c>
      <c r="F7">
        <v>29</v>
      </c>
      <c r="G7">
        <v>11.8</v>
      </c>
      <c r="H7">
        <v>28.1</v>
      </c>
      <c r="I7">
        <v>15.7</v>
      </c>
      <c r="J7">
        <v>34.5</v>
      </c>
      <c r="K7">
        <v>27.4</v>
      </c>
      <c r="L7">
        <v>41</v>
      </c>
    </row>
    <row r="8" spans="1:24" x14ac:dyDescent="0.3">
      <c r="A8" t="s">
        <v>33</v>
      </c>
      <c r="B8">
        <v>-0.3</v>
      </c>
      <c r="C8">
        <v>-0.3</v>
      </c>
      <c r="D8">
        <v>-0.4</v>
      </c>
      <c r="E8">
        <v>-0.2</v>
      </c>
      <c r="F8">
        <v>-0.4</v>
      </c>
      <c r="G8">
        <v>-0.2</v>
      </c>
      <c r="H8">
        <v>-0.5</v>
      </c>
      <c r="I8">
        <v>-0.2</v>
      </c>
      <c r="J8">
        <v>-0.6</v>
      </c>
      <c r="K8">
        <v>-0.9</v>
      </c>
      <c r="L8">
        <v>-1.8</v>
      </c>
    </row>
    <row r="9" spans="1:24" x14ac:dyDescent="0.3">
      <c r="A9" t="s">
        <v>34</v>
      </c>
      <c r="B9">
        <v>10.4</v>
      </c>
      <c r="C9">
        <v>13</v>
      </c>
      <c r="D9">
        <v>21.5</v>
      </c>
      <c r="E9">
        <v>13.6</v>
      </c>
      <c r="F9">
        <v>28.6</v>
      </c>
      <c r="G9">
        <v>11.6</v>
      </c>
      <c r="H9">
        <v>27.6</v>
      </c>
      <c r="I9">
        <v>15.5</v>
      </c>
      <c r="J9">
        <v>33.9</v>
      </c>
      <c r="K9">
        <v>26.5</v>
      </c>
      <c r="L9">
        <v>39.200000000000003</v>
      </c>
    </row>
    <row r="10" spans="1:24" x14ac:dyDescent="0.3">
      <c r="A10" t="s">
        <v>247</v>
      </c>
      <c r="B10">
        <v>-4.9000000000000004</v>
      </c>
      <c r="C10">
        <v>-6.7</v>
      </c>
      <c r="D10">
        <v>-19.3</v>
      </c>
      <c r="E10">
        <v>-8.9</v>
      </c>
      <c r="F10">
        <v>-17.8</v>
      </c>
      <c r="G10">
        <v>-8</v>
      </c>
      <c r="H10">
        <v>-19.100000000000001</v>
      </c>
      <c r="I10">
        <v>-10.9</v>
      </c>
      <c r="J10">
        <v>-23.1</v>
      </c>
      <c r="K10">
        <v>-19.3</v>
      </c>
      <c r="L10">
        <v>-30.3</v>
      </c>
    </row>
    <row r="11" spans="1:24" x14ac:dyDescent="0.3">
      <c r="A11" t="s">
        <v>248</v>
      </c>
      <c r="B11">
        <v>5.5</v>
      </c>
      <c r="C11">
        <v>6.2</v>
      </c>
      <c r="D11">
        <v>2.2000000000000002</v>
      </c>
      <c r="E11">
        <v>4.7</v>
      </c>
      <c r="F11">
        <v>10.8</v>
      </c>
      <c r="G11">
        <v>3.6</v>
      </c>
      <c r="H11">
        <v>8.5</v>
      </c>
      <c r="I11">
        <v>4.5999999999999996</v>
      </c>
      <c r="J11" s="93">
        <v>10.8</v>
      </c>
      <c r="K11" s="93">
        <v>7.2</v>
      </c>
      <c r="L11">
        <v>8.9</v>
      </c>
    </row>
    <row r="12" spans="1:24" x14ac:dyDescent="0.3">
      <c r="A12" t="s">
        <v>249</v>
      </c>
      <c r="B12">
        <v>-0.1</v>
      </c>
      <c r="C12">
        <v>0</v>
      </c>
      <c r="D12">
        <v>-0.1</v>
      </c>
      <c r="E12">
        <v>-0.1</v>
      </c>
      <c r="F12">
        <v>-0.1</v>
      </c>
      <c r="G12">
        <v>-0.2</v>
      </c>
      <c r="H12">
        <v>-0.4</v>
      </c>
      <c r="I12">
        <v>-0.2</v>
      </c>
      <c r="J12" s="93">
        <v>-0.4</v>
      </c>
      <c r="K12" s="93">
        <v>-0.2</v>
      </c>
      <c r="L12">
        <v>-0.3</v>
      </c>
    </row>
    <row r="13" spans="1:24" x14ac:dyDescent="0.3">
      <c r="A13" t="s">
        <v>289</v>
      </c>
      <c r="K13" s="93"/>
    </row>
    <row r="14" spans="1:24" x14ac:dyDescent="0.3">
      <c r="A14" t="s">
        <v>250</v>
      </c>
      <c r="E14">
        <v>-0.6</v>
      </c>
      <c r="H14">
        <v>-0.7</v>
      </c>
      <c r="I14">
        <v>-0.2</v>
      </c>
      <c r="J14" s="93">
        <v>-0.4</v>
      </c>
      <c r="K14" s="93">
        <v>-0.8</v>
      </c>
      <c r="L14">
        <v>-0.8</v>
      </c>
    </row>
    <row r="15" spans="1:24" x14ac:dyDescent="0.3">
      <c r="A15" t="s">
        <v>135</v>
      </c>
      <c r="B15">
        <v>5.4</v>
      </c>
      <c r="C15">
        <v>6.2</v>
      </c>
      <c r="D15">
        <v>2.1</v>
      </c>
      <c r="E15">
        <v>4.0999999999999996</v>
      </c>
      <c r="F15">
        <v>10.199999999999999</v>
      </c>
      <c r="G15">
        <v>3.4</v>
      </c>
      <c r="H15">
        <v>7.4</v>
      </c>
      <c r="I15">
        <v>4.2</v>
      </c>
      <c r="J15" s="93">
        <v>10</v>
      </c>
      <c r="K15" s="93">
        <v>6.2</v>
      </c>
      <c r="L15">
        <v>7.8</v>
      </c>
    </row>
    <row r="16" spans="1:24" x14ac:dyDescent="0.3">
      <c r="A16" t="s">
        <v>251</v>
      </c>
      <c r="E16">
        <v>-0.9</v>
      </c>
      <c r="F16">
        <v>-2.1</v>
      </c>
      <c r="G16">
        <v>-0.7</v>
      </c>
      <c r="H16">
        <v>-1.5</v>
      </c>
      <c r="I16">
        <v>-0.9</v>
      </c>
      <c r="J16">
        <v>-2.6</v>
      </c>
      <c r="K16">
        <v>-1.1000000000000001</v>
      </c>
      <c r="L16">
        <v>-0.8</v>
      </c>
    </row>
    <row r="17" spans="1:12" x14ac:dyDescent="0.3">
      <c r="A17" t="s">
        <v>137</v>
      </c>
      <c r="B17">
        <v>5.4</v>
      </c>
      <c r="C17">
        <v>6.2</v>
      </c>
      <c r="D17">
        <v>2.1</v>
      </c>
      <c r="E17">
        <v>3.2</v>
      </c>
      <c r="F17">
        <v>8.1</v>
      </c>
      <c r="G17">
        <v>2.7</v>
      </c>
      <c r="H17">
        <v>5.9</v>
      </c>
      <c r="I17">
        <v>3.3</v>
      </c>
      <c r="J17">
        <v>7.4</v>
      </c>
      <c r="K17">
        <v>5.0999999999999996</v>
      </c>
      <c r="L17">
        <v>7</v>
      </c>
    </row>
    <row r="18" spans="1:12" x14ac:dyDescent="0.3">
      <c r="A18" t="s">
        <v>231</v>
      </c>
    </row>
    <row r="19" spans="1:12" x14ac:dyDescent="0.3">
      <c r="A19" t="s">
        <v>252</v>
      </c>
    </row>
    <row r="20" spans="1:12" x14ac:dyDescent="0.3">
      <c r="A20" t="s">
        <v>253</v>
      </c>
    </row>
    <row r="21" spans="1:12" x14ac:dyDescent="0.3">
      <c r="A21" t="s">
        <v>254</v>
      </c>
      <c r="B21">
        <v>5.4</v>
      </c>
      <c r="C21">
        <v>6.2</v>
      </c>
      <c r="D21">
        <v>2.1</v>
      </c>
      <c r="E21">
        <v>3.2</v>
      </c>
      <c r="F21">
        <v>8.1</v>
      </c>
      <c r="G21">
        <v>2.7</v>
      </c>
      <c r="H21">
        <v>5.9</v>
      </c>
      <c r="I21">
        <v>3.3</v>
      </c>
      <c r="J21">
        <v>7.4</v>
      </c>
      <c r="K21">
        <v>5.0999999999999996</v>
      </c>
      <c r="L21">
        <v>7</v>
      </c>
    </row>
    <row r="22" spans="1:12" x14ac:dyDescent="0.3">
      <c r="A22" t="s">
        <v>255</v>
      </c>
    </row>
    <row r="23" spans="1:12" x14ac:dyDescent="0.3">
      <c r="A23" t="s">
        <v>36</v>
      </c>
      <c r="B23">
        <v>6.2</v>
      </c>
      <c r="C23">
        <v>7.1</v>
      </c>
      <c r="D23">
        <v>3.4</v>
      </c>
      <c r="E23">
        <v>4.9000000000000004</v>
      </c>
      <c r="F23">
        <v>11.7</v>
      </c>
      <c r="G23">
        <v>4.7</v>
      </c>
      <c r="H23">
        <v>10.1</v>
      </c>
      <c r="I23">
        <v>5.6</v>
      </c>
      <c r="J23">
        <v>12.9</v>
      </c>
      <c r="K23">
        <v>7.7</v>
      </c>
      <c r="L23">
        <v>10.1</v>
      </c>
    </row>
    <row r="24" spans="1:12" x14ac:dyDescent="0.3">
      <c r="A24" t="s">
        <v>48</v>
      </c>
      <c r="B24">
        <v>-0.7</v>
      </c>
      <c r="C24">
        <v>-0.9</v>
      </c>
      <c r="D24">
        <v>-1.2</v>
      </c>
      <c r="E24">
        <v>-0.7</v>
      </c>
      <c r="F24">
        <v>-1.3</v>
      </c>
      <c r="G24">
        <v>-1.1000000000000001</v>
      </c>
      <c r="H24">
        <v>-2.2999999999999998</v>
      </c>
      <c r="I24">
        <v>-1.2</v>
      </c>
      <c r="J24">
        <v>-2.5</v>
      </c>
      <c r="K24">
        <v>-1.3</v>
      </c>
      <c r="L24">
        <v>-2</v>
      </c>
    </row>
    <row r="25" spans="1:12" x14ac:dyDescent="0.3">
      <c r="A25" t="s">
        <v>38</v>
      </c>
      <c r="B25">
        <v>5.5</v>
      </c>
      <c r="C25">
        <v>6.2</v>
      </c>
      <c r="D25">
        <v>2.2000000000000002</v>
      </c>
      <c r="E25">
        <v>4.2</v>
      </c>
      <c r="F25">
        <v>10.4</v>
      </c>
      <c r="G25">
        <v>3.6</v>
      </c>
      <c r="H25">
        <v>7.8</v>
      </c>
      <c r="I25">
        <v>4.4000000000000004</v>
      </c>
      <c r="J25">
        <v>10.4</v>
      </c>
      <c r="K25">
        <v>6.4</v>
      </c>
      <c r="L25">
        <v>8.1</v>
      </c>
    </row>
    <row r="26" spans="1:12" x14ac:dyDescent="0.3">
      <c r="A26" t="s">
        <v>44</v>
      </c>
      <c r="B26">
        <v>-0.1</v>
      </c>
      <c r="C26">
        <v>0</v>
      </c>
      <c r="D26">
        <v>-0.1</v>
      </c>
      <c r="E26">
        <v>-0.1</v>
      </c>
      <c r="F26">
        <v>-0.2</v>
      </c>
      <c r="G26">
        <v>-0.2</v>
      </c>
      <c r="H26">
        <v>-0.4</v>
      </c>
      <c r="I26">
        <v>-0.2</v>
      </c>
      <c r="J26">
        <v>-0.4</v>
      </c>
      <c r="K26">
        <v>-0.2</v>
      </c>
      <c r="L26">
        <v>-0.3</v>
      </c>
    </row>
    <row r="27" spans="1:12" x14ac:dyDescent="0.3">
      <c r="A27" t="s">
        <v>135</v>
      </c>
      <c r="B27">
        <v>5.4</v>
      </c>
      <c r="C27">
        <v>6.2</v>
      </c>
      <c r="D27">
        <v>2.1</v>
      </c>
      <c r="E27">
        <v>4.0999999999999996</v>
      </c>
      <c r="F27">
        <v>10.199999999999999</v>
      </c>
      <c r="G27">
        <v>3.4</v>
      </c>
      <c r="H27">
        <v>7.4</v>
      </c>
      <c r="I27">
        <v>4.2</v>
      </c>
      <c r="J27">
        <v>10</v>
      </c>
      <c r="K27">
        <v>6.2</v>
      </c>
      <c r="L27">
        <v>7.8</v>
      </c>
    </row>
    <row r="28" spans="1:12" x14ac:dyDescent="0.3">
      <c r="A28" t="s">
        <v>256</v>
      </c>
    </row>
    <row r="29" spans="1:12" x14ac:dyDescent="0.3">
      <c r="A29" t="s">
        <v>257</v>
      </c>
    </row>
    <row r="30" spans="1:12" x14ac:dyDescent="0.3">
      <c r="A30" t="s">
        <v>188</v>
      </c>
    </row>
    <row r="31" spans="1:12" x14ac:dyDescent="0.3">
      <c r="A31" t="s">
        <v>258</v>
      </c>
      <c r="F31">
        <v>2</v>
      </c>
      <c r="H31">
        <v>2</v>
      </c>
      <c r="I31">
        <v>0.7</v>
      </c>
      <c r="J31">
        <v>2</v>
      </c>
      <c r="L31">
        <v>2.2999999999999998</v>
      </c>
    </row>
    <row r="32" spans="1:12" x14ac:dyDescent="0.3">
      <c r="A32" t="s">
        <v>259</v>
      </c>
      <c r="F32">
        <v>2</v>
      </c>
      <c r="H32">
        <v>2</v>
      </c>
      <c r="I32">
        <v>0.8</v>
      </c>
      <c r="J32">
        <v>2</v>
      </c>
      <c r="L32">
        <v>2.2999999999999998</v>
      </c>
    </row>
    <row r="33" spans="1:12" x14ac:dyDescent="0.3">
      <c r="A33" t="s">
        <v>260</v>
      </c>
      <c r="B33">
        <v>4.8</v>
      </c>
      <c r="C33">
        <v>5.4</v>
      </c>
      <c r="D33">
        <v>2.1</v>
      </c>
      <c r="E33">
        <v>2.9</v>
      </c>
      <c r="F33">
        <v>7.1</v>
      </c>
      <c r="G33">
        <v>2.4</v>
      </c>
      <c r="H33">
        <v>5.2</v>
      </c>
      <c r="I33">
        <v>3</v>
      </c>
      <c r="J33">
        <v>6.6</v>
      </c>
      <c r="K33">
        <v>4.5</v>
      </c>
      <c r="L33">
        <v>6.2</v>
      </c>
    </row>
    <row r="34" spans="1:12" x14ac:dyDescent="0.3">
      <c r="A34" t="s">
        <v>261</v>
      </c>
    </row>
    <row r="35" spans="1:12" x14ac:dyDescent="0.3">
      <c r="A35" t="s">
        <v>262</v>
      </c>
      <c r="B35">
        <v>4.8</v>
      </c>
      <c r="C35">
        <v>5.4</v>
      </c>
      <c r="D35">
        <v>2.1</v>
      </c>
      <c r="E35">
        <v>2.9</v>
      </c>
      <c r="F35">
        <v>7.1</v>
      </c>
      <c r="G35">
        <v>2.4</v>
      </c>
      <c r="H35">
        <v>5.2</v>
      </c>
      <c r="I35">
        <v>3</v>
      </c>
      <c r="J35">
        <v>6.6</v>
      </c>
      <c r="K35">
        <v>4.5</v>
      </c>
      <c r="L35">
        <v>6.2</v>
      </c>
    </row>
    <row r="36" spans="1:12" x14ac:dyDescent="0.3">
      <c r="A36" t="s">
        <v>263</v>
      </c>
      <c r="B36">
        <v>4.8</v>
      </c>
      <c r="C36">
        <v>5.4</v>
      </c>
      <c r="D36">
        <v>2.1</v>
      </c>
      <c r="E36">
        <v>3.3</v>
      </c>
      <c r="F36">
        <v>7.1</v>
      </c>
      <c r="G36">
        <v>2.4</v>
      </c>
      <c r="H36">
        <v>5.7</v>
      </c>
      <c r="I36">
        <v>3.1</v>
      </c>
      <c r="J36">
        <v>6.9</v>
      </c>
      <c r="K36">
        <v>5.0999999999999996</v>
      </c>
      <c r="L36">
        <v>6.8</v>
      </c>
    </row>
    <row r="37" spans="1:12" x14ac:dyDescent="0.3">
      <c r="A37" t="s">
        <v>264</v>
      </c>
    </row>
    <row r="38" spans="1:12" x14ac:dyDescent="0.3">
      <c r="A38" t="s">
        <v>135</v>
      </c>
      <c r="B38">
        <v>5.4</v>
      </c>
      <c r="C38">
        <v>6.2</v>
      </c>
      <c r="D38">
        <v>2.1</v>
      </c>
      <c r="E38">
        <v>4.5999999999999996</v>
      </c>
      <c r="F38">
        <v>10.199999999999999</v>
      </c>
      <c r="G38">
        <v>3.4</v>
      </c>
      <c r="H38">
        <v>8.1</v>
      </c>
      <c r="I38">
        <v>4.4000000000000004</v>
      </c>
      <c r="J38">
        <v>10.4</v>
      </c>
      <c r="K38">
        <v>7</v>
      </c>
      <c r="L38">
        <v>8.6</v>
      </c>
    </row>
    <row r="39" spans="1:12" x14ac:dyDescent="0.3">
      <c r="A39" t="s">
        <v>137</v>
      </c>
      <c r="B39">
        <v>5.4</v>
      </c>
      <c r="C39">
        <v>6.2</v>
      </c>
      <c r="D39">
        <v>2.1</v>
      </c>
      <c r="E39">
        <v>3.6</v>
      </c>
      <c r="F39">
        <v>8.1</v>
      </c>
      <c r="G39">
        <v>2.7</v>
      </c>
      <c r="H39">
        <v>6.5</v>
      </c>
      <c r="I39">
        <v>3.5</v>
      </c>
      <c r="J39">
        <v>7.7</v>
      </c>
      <c r="K39">
        <v>5.8</v>
      </c>
      <c r="L39">
        <v>7.7</v>
      </c>
    </row>
    <row r="40" spans="1:12" x14ac:dyDescent="0.3">
      <c r="A40" t="s">
        <v>38</v>
      </c>
      <c r="B40">
        <v>5.5</v>
      </c>
      <c r="C40">
        <v>6.2</v>
      </c>
      <c r="D40">
        <v>2.2000000000000002</v>
      </c>
      <c r="E40">
        <v>4.7</v>
      </c>
      <c r="F40">
        <v>10.4</v>
      </c>
      <c r="G40">
        <v>3.6</v>
      </c>
      <c r="H40">
        <v>8.5</v>
      </c>
      <c r="I40">
        <v>4.5999999999999996</v>
      </c>
      <c r="J40">
        <v>10.8</v>
      </c>
      <c r="K40">
        <v>7.2</v>
      </c>
      <c r="L40">
        <v>8.9</v>
      </c>
    </row>
    <row r="41" spans="1:12" x14ac:dyDescent="0.3">
      <c r="A41" t="s">
        <v>36</v>
      </c>
      <c r="B41">
        <v>6.2</v>
      </c>
      <c r="C41">
        <v>7.1</v>
      </c>
      <c r="D41">
        <v>3.4</v>
      </c>
      <c r="E41">
        <v>5.4</v>
      </c>
      <c r="F41">
        <v>11.7</v>
      </c>
      <c r="G41">
        <v>4.7</v>
      </c>
      <c r="H41">
        <v>10.8</v>
      </c>
      <c r="I41">
        <v>5.8</v>
      </c>
      <c r="J41">
        <v>13.3</v>
      </c>
      <c r="K41">
        <v>8.5</v>
      </c>
      <c r="L41">
        <v>10.9</v>
      </c>
    </row>
    <row r="42" spans="1:12" x14ac:dyDescent="0.3">
      <c r="A42" t="s">
        <v>265</v>
      </c>
    </row>
    <row r="43" spans="1:12" x14ac:dyDescent="0.3">
      <c r="A43" t="s">
        <v>47</v>
      </c>
      <c r="D43">
        <v>9.8000000000000007</v>
      </c>
      <c r="E43">
        <v>6.5</v>
      </c>
      <c r="F43">
        <v>12.5</v>
      </c>
      <c r="G43">
        <v>3.7</v>
      </c>
      <c r="H43">
        <v>8.6999999999999993</v>
      </c>
      <c r="I43">
        <v>4.7</v>
      </c>
      <c r="J43">
        <v>11</v>
      </c>
      <c r="K43">
        <v>7.3</v>
      </c>
      <c r="L43">
        <v>9</v>
      </c>
    </row>
    <row r="44" spans="1:12" x14ac:dyDescent="0.3">
      <c r="A44" t="s">
        <v>137</v>
      </c>
      <c r="D44">
        <v>7.8</v>
      </c>
      <c r="E44">
        <v>5.2</v>
      </c>
      <c r="F44">
        <v>10</v>
      </c>
      <c r="G44">
        <v>2.8</v>
      </c>
      <c r="H44">
        <v>6.7</v>
      </c>
      <c r="I44">
        <v>3.6</v>
      </c>
      <c r="J44">
        <v>7.9</v>
      </c>
      <c r="K44">
        <v>5.8</v>
      </c>
      <c r="L44">
        <v>7.7</v>
      </c>
    </row>
    <row r="45" spans="1:12" x14ac:dyDescent="0.3">
      <c r="A45" t="s">
        <v>38</v>
      </c>
    </row>
    <row r="46" spans="1:12" x14ac:dyDescent="0.3">
      <c r="A46" t="s">
        <v>36</v>
      </c>
    </row>
    <row r="47" spans="1:12" x14ac:dyDescent="0.3">
      <c r="A47" t="s">
        <v>266</v>
      </c>
      <c r="D47">
        <v>7.8</v>
      </c>
      <c r="E47">
        <v>4.5999999999999996</v>
      </c>
      <c r="F47">
        <v>8.8000000000000007</v>
      </c>
      <c r="G47">
        <v>2.5</v>
      </c>
      <c r="H47">
        <v>5.9</v>
      </c>
      <c r="I47">
        <v>3.2</v>
      </c>
      <c r="J47">
        <v>7</v>
      </c>
      <c r="K47">
        <v>5.0999999999999996</v>
      </c>
      <c r="L47">
        <v>6.8</v>
      </c>
    </row>
    <row r="48" spans="1:12" x14ac:dyDescent="0.3">
      <c r="A48" t="s">
        <v>267</v>
      </c>
      <c r="D48">
        <v>7.8</v>
      </c>
      <c r="E48">
        <v>4.5999999999999996</v>
      </c>
      <c r="F48">
        <v>8.8000000000000007</v>
      </c>
      <c r="G48">
        <v>2.5</v>
      </c>
      <c r="H48">
        <v>5.9</v>
      </c>
      <c r="I48">
        <v>3.2</v>
      </c>
      <c r="J48">
        <v>7</v>
      </c>
      <c r="K48">
        <v>5.0999999999999996</v>
      </c>
      <c r="L48">
        <v>6.8</v>
      </c>
    </row>
    <row r="49" spans="1:12" x14ac:dyDescent="0.3">
      <c r="A49" t="s">
        <v>239</v>
      </c>
    </row>
    <row r="50" spans="1:12" x14ac:dyDescent="0.3">
      <c r="A50" t="s">
        <v>268</v>
      </c>
      <c r="B50">
        <v>113.2</v>
      </c>
      <c r="C50">
        <v>113.2</v>
      </c>
      <c r="D50">
        <v>113.2</v>
      </c>
      <c r="E50">
        <v>113.2</v>
      </c>
      <c r="F50">
        <v>113.2</v>
      </c>
      <c r="G50">
        <v>113.2</v>
      </c>
      <c r="H50">
        <v>113.2</v>
      </c>
      <c r="I50">
        <v>113.2</v>
      </c>
      <c r="J50">
        <v>113.2</v>
      </c>
      <c r="K50">
        <v>113.2</v>
      </c>
      <c r="L50">
        <v>113.2</v>
      </c>
    </row>
    <row r="51" spans="1:12" x14ac:dyDescent="0.3">
      <c r="A51" t="s">
        <v>269</v>
      </c>
      <c r="B51">
        <v>113.2</v>
      </c>
      <c r="C51">
        <v>113.2</v>
      </c>
      <c r="D51">
        <v>113.2</v>
      </c>
      <c r="E51">
        <v>113.2</v>
      </c>
      <c r="F51">
        <v>113.2</v>
      </c>
      <c r="G51">
        <v>113.2</v>
      </c>
      <c r="H51">
        <v>113.2</v>
      </c>
      <c r="I51">
        <v>113.2</v>
      </c>
      <c r="J51">
        <v>113.2</v>
      </c>
      <c r="K51">
        <v>113.2</v>
      </c>
      <c r="L51">
        <v>113.2</v>
      </c>
    </row>
    <row r="52" spans="1:12" x14ac:dyDescent="0.3">
      <c r="A52" t="s">
        <v>270</v>
      </c>
      <c r="B52">
        <v>113.2</v>
      </c>
      <c r="C52">
        <v>113.2</v>
      </c>
      <c r="D52">
        <v>113.2</v>
      </c>
      <c r="E52">
        <v>113.5</v>
      </c>
      <c r="F52">
        <v>113.4</v>
      </c>
      <c r="G52">
        <v>113.3</v>
      </c>
      <c r="H52">
        <v>113.3</v>
      </c>
      <c r="I52">
        <v>113.3</v>
      </c>
      <c r="J52">
        <v>113.4</v>
      </c>
      <c r="K52">
        <v>113.3</v>
      </c>
      <c r="L52">
        <v>113.3</v>
      </c>
    </row>
    <row r="53" spans="1:12" x14ac:dyDescent="0.3">
      <c r="A53" t="s">
        <v>271</v>
      </c>
    </row>
    <row r="54" spans="1:12" x14ac:dyDescent="0.3">
      <c r="A54" t="s">
        <v>272</v>
      </c>
    </row>
    <row r="55" spans="1:12" x14ac:dyDescent="0.3">
      <c r="A55" t="s">
        <v>273</v>
      </c>
      <c r="E55">
        <v>0.1</v>
      </c>
      <c r="G55">
        <v>0.1</v>
      </c>
      <c r="H55">
        <v>0.2</v>
      </c>
      <c r="I55">
        <v>0.1</v>
      </c>
      <c r="J55">
        <v>0.2</v>
      </c>
      <c r="K55">
        <v>0.1</v>
      </c>
      <c r="L55">
        <v>0.1</v>
      </c>
    </row>
    <row r="56" spans="1:12" x14ac:dyDescent="0.3">
      <c r="A56" t="s">
        <v>158</v>
      </c>
      <c r="B56">
        <v>-0.6</v>
      </c>
      <c r="C56">
        <v>-1</v>
      </c>
      <c r="D56">
        <v>-1.5</v>
      </c>
      <c r="E56">
        <v>-0.5</v>
      </c>
      <c r="F56">
        <v>-1.2</v>
      </c>
      <c r="G56">
        <v>-3</v>
      </c>
      <c r="H56">
        <v>-3.9</v>
      </c>
      <c r="I56">
        <v>-0.9</v>
      </c>
      <c r="J56">
        <v>-2.1</v>
      </c>
      <c r="K56">
        <v>-0.9</v>
      </c>
      <c r="L56">
        <v>-1.9</v>
      </c>
    </row>
    <row r="57" spans="1:12" x14ac:dyDescent="0.3">
      <c r="A57" t="s">
        <v>274</v>
      </c>
      <c r="B57">
        <v>137</v>
      </c>
      <c r="D57">
        <v>35</v>
      </c>
      <c r="F57">
        <v>46</v>
      </c>
      <c r="H57">
        <v>59</v>
      </c>
      <c r="I57">
        <v>69</v>
      </c>
      <c r="J57">
        <v>79</v>
      </c>
      <c r="K57">
        <v>107</v>
      </c>
      <c r="L57">
        <v>137</v>
      </c>
    </row>
    <row r="58" spans="1:12" x14ac:dyDescent="0.3">
      <c r="A58" t="s">
        <v>275</v>
      </c>
      <c r="E58">
        <v>21.2</v>
      </c>
      <c r="F58">
        <v>20.6</v>
      </c>
      <c r="G58">
        <v>20.6</v>
      </c>
      <c r="H58">
        <v>20.3</v>
      </c>
      <c r="I58">
        <v>21.4</v>
      </c>
      <c r="J58">
        <v>26</v>
      </c>
      <c r="K58">
        <v>17.7</v>
      </c>
      <c r="L58">
        <v>10.3</v>
      </c>
    </row>
    <row r="59" spans="1:12" x14ac:dyDescent="0.3">
      <c r="A59" t="s">
        <v>276</v>
      </c>
      <c r="F59">
        <v>113.2</v>
      </c>
      <c r="H59">
        <v>144.9</v>
      </c>
      <c r="J59">
        <v>133.6</v>
      </c>
    </row>
    <row r="60" spans="1:12" x14ac:dyDescent="0.3">
      <c r="A60" t="s">
        <v>277</v>
      </c>
      <c r="F60">
        <v>90.5</v>
      </c>
      <c r="H60">
        <v>125</v>
      </c>
      <c r="J60">
        <v>102.3</v>
      </c>
    </row>
  </sheetData>
  <sheetProtection algorithmName="SHA-512" hashValue="CkXV+7niqAn3T1iAc1fcmHCRx4wFrT1PM98xVptD7reA7PxJOWu7nUriIJSF9E2anxivkT2n35IsKZ8TcWkdUw==" saltValue="UebTc7Z5QnwWt9xu8BDl5g==" spinCount="100000" sheet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7778-2D5D-4FF3-9084-B0EC55CF7892}">
  <sheetPr>
    <tabColor theme="6" tint="0.59999389629810485"/>
  </sheetPr>
  <dimension ref="A2:AN67"/>
  <sheetViews>
    <sheetView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E44" sqref="E44"/>
    </sheetView>
  </sheetViews>
  <sheetFormatPr defaultRowHeight="14.4" x14ac:dyDescent="0.3"/>
  <cols>
    <col min="1" max="1" width="23.6640625" bestFit="1" customWidth="1"/>
    <col min="2" max="40" width="11.109375" bestFit="1" customWidth="1"/>
  </cols>
  <sheetData>
    <row r="2" spans="1:40" x14ac:dyDescent="0.3">
      <c r="A2" t="s">
        <v>133</v>
      </c>
      <c r="B2">
        <v>2017</v>
      </c>
      <c r="C2">
        <v>2018</v>
      </c>
      <c r="D2">
        <v>2019</v>
      </c>
      <c r="E2">
        <v>2020</v>
      </c>
      <c r="F2">
        <v>2020</v>
      </c>
      <c r="G2">
        <v>2021</v>
      </c>
      <c r="H2">
        <v>2021</v>
      </c>
      <c r="I2">
        <v>2022</v>
      </c>
      <c r="J2">
        <v>2022</v>
      </c>
      <c r="K2">
        <v>2022</v>
      </c>
      <c r="L2">
        <v>2022</v>
      </c>
    </row>
    <row r="3" spans="1:40" x14ac:dyDescent="0.3">
      <c r="A3" t="s">
        <v>143</v>
      </c>
      <c r="B3" s="66">
        <v>42825</v>
      </c>
      <c r="C3" s="66">
        <v>43190</v>
      </c>
      <c r="D3" s="66">
        <v>43555</v>
      </c>
      <c r="E3" s="66">
        <v>43738</v>
      </c>
      <c r="F3" s="66">
        <v>43921</v>
      </c>
      <c r="G3" s="66">
        <v>44104</v>
      </c>
      <c r="H3" s="66">
        <v>44286</v>
      </c>
      <c r="I3" s="66">
        <v>44469</v>
      </c>
      <c r="J3" s="66">
        <v>44651</v>
      </c>
      <c r="K3" s="66">
        <v>44834</v>
      </c>
      <c r="L3" s="66">
        <v>44926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0" x14ac:dyDescent="0.3">
      <c r="A4" t="s">
        <v>144</v>
      </c>
      <c r="B4" t="s">
        <v>282</v>
      </c>
      <c r="C4" t="s">
        <v>282</v>
      </c>
      <c r="D4" t="s">
        <v>282</v>
      </c>
      <c r="E4" t="s">
        <v>304</v>
      </c>
      <c r="F4" t="s">
        <v>282</v>
      </c>
      <c r="G4" t="s">
        <v>304</v>
      </c>
      <c r="H4" t="s">
        <v>282</v>
      </c>
      <c r="I4" t="s">
        <v>304</v>
      </c>
      <c r="J4" t="s">
        <v>282</v>
      </c>
      <c r="K4" t="s">
        <v>304</v>
      </c>
      <c r="L4" t="s">
        <v>310</v>
      </c>
    </row>
    <row r="5" spans="1:40" x14ac:dyDescent="0.3">
      <c r="A5" t="s">
        <v>145</v>
      </c>
    </row>
    <row r="6" spans="1:40" x14ac:dyDescent="0.3">
      <c r="A6" t="s">
        <v>193</v>
      </c>
    </row>
    <row r="7" spans="1:40" x14ac:dyDescent="0.3">
      <c r="A7" t="s">
        <v>194</v>
      </c>
      <c r="F7">
        <v>0.3</v>
      </c>
    </row>
    <row r="8" spans="1:40" x14ac:dyDescent="0.3">
      <c r="A8" t="s">
        <v>195</v>
      </c>
      <c r="B8">
        <v>0.1</v>
      </c>
      <c r="C8">
        <v>0</v>
      </c>
      <c r="D8">
        <v>0.1</v>
      </c>
      <c r="E8">
        <v>0.1</v>
      </c>
      <c r="G8">
        <v>0.8</v>
      </c>
      <c r="H8">
        <v>0.1</v>
      </c>
      <c r="I8">
        <v>0.1</v>
      </c>
      <c r="J8">
        <v>0.1</v>
      </c>
      <c r="K8">
        <v>0.1</v>
      </c>
    </row>
    <row r="9" spans="1:40" x14ac:dyDescent="0.3">
      <c r="A9" t="s">
        <v>196</v>
      </c>
      <c r="B9">
        <v>0.2</v>
      </c>
      <c r="C9">
        <v>0.5</v>
      </c>
      <c r="D9">
        <v>0.3</v>
      </c>
      <c r="E9">
        <v>0.2</v>
      </c>
      <c r="G9">
        <v>0.4</v>
      </c>
      <c r="H9">
        <v>0.5</v>
      </c>
      <c r="I9">
        <v>0.5</v>
      </c>
      <c r="J9">
        <v>0.5</v>
      </c>
      <c r="K9">
        <v>0.8</v>
      </c>
      <c r="L9">
        <v>1</v>
      </c>
    </row>
    <row r="10" spans="1:40" x14ac:dyDescent="0.3">
      <c r="A10" t="s">
        <v>197</v>
      </c>
      <c r="B10">
        <v>0.2</v>
      </c>
      <c r="C10">
        <v>0.6</v>
      </c>
      <c r="D10">
        <v>0.4</v>
      </c>
      <c r="E10">
        <v>0.3</v>
      </c>
      <c r="F10">
        <v>0.3</v>
      </c>
      <c r="G10">
        <v>1.2</v>
      </c>
      <c r="H10">
        <v>0.6</v>
      </c>
      <c r="I10">
        <v>0.6</v>
      </c>
      <c r="J10">
        <v>0.6</v>
      </c>
      <c r="K10">
        <v>0.9</v>
      </c>
      <c r="L10">
        <v>1</v>
      </c>
    </row>
    <row r="11" spans="1:40" x14ac:dyDescent="0.3">
      <c r="A11" t="s">
        <v>198</v>
      </c>
    </row>
    <row r="12" spans="1:40" x14ac:dyDescent="0.3">
      <c r="A12" t="s">
        <v>199</v>
      </c>
    </row>
    <row r="13" spans="1:40" x14ac:dyDescent="0.3">
      <c r="A13" t="s">
        <v>200</v>
      </c>
    </row>
    <row r="14" spans="1:40" x14ac:dyDescent="0.3">
      <c r="A14" t="s">
        <v>201</v>
      </c>
    </row>
    <row r="15" spans="1:40" x14ac:dyDescent="0.3">
      <c r="A15" t="s">
        <v>202</v>
      </c>
      <c r="B15">
        <v>14.5</v>
      </c>
      <c r="C15">
        <v>12.7</v>
      </c>
      <c r="D15">
        <v>13.2</v>
      </c>
      <c r="E15">
        <v>32.1</v>
      </c>
      <c r="F15">
        <v>22.7</v>
      </c>
      <c r="G15">
        <v>37.200000000000003</v>
      </c>
      <c r="H15">
        <v>26.8</v>
      </c>
      <c r="I15">
        <v>43.3</v>
      </c>
      <c r="J15">
        <v>37.9</v>
      </c>
      <c r="K15">
        <v>51.6</v>
      </c>
      <c r="L15">
        <v>29</v>
      </c>
    </row>
    <row r="16" spans="1:40" x14ac:dyDescent="0.3">
      <c r="A16" t="s">
        <v>203</v>
      </c>
      <c r="B16">
        <v>9.1</v>
      </c>
      <c r="C16">
        <v>14.3</v>
      </c>
      <c r="D16">
        <v>10.3</v>
      </c>
      <c r="E16">
        <v>11.7</v>
      </c>
      <c r="F16">
        <v>61</v>
      </c>
      <c r="G16">
        <v>15</v>
      </c>
      <c r="H16">
        <v>50.3</v>
      </c>
      <c r="I16">
        <v>21.6</v>
      </c>
      <c r="J16">
        <v>45.2</v>
      </c>
      <c r="K16">
        <v>140.4</v>
      </c>
      <c r="L16">
        <v>67.7</v>
      </c>
    </row>
    <row r="17" spans="1:12" x14ac:dyDescent="0.3">
      <c r="A17" t="s">
        <v>204</v>
      </c>
      <c r="B17">
        <v>23.9</v>
      </c>
      <c r="C17">
        <v>27.6</v>
      </c>
      <c r="D17">
        <v>23.8</v>
      </c>
      <c r="E17">
        <v>44.1</v>
      </c>
      <c r="F17">
        <v>84</v>
      </c>
      <c r="G17">
        <v>53.4</v>
      </c>
      <c r="H17">
        <v>77.7</v>
      </c>
      <c r="I17">
        <v>65.5</v>
      </c>
      <c r="J17">
        <v>83.7</v>
      </c>
      <c r="K17">
        <v>192.9</v>
      </c>
      <c r="L17">
        <v>97.7</v>
      </c>
    </row>
    <row r="18" spans="1:12" x14ac:dyDescent="0.3">
      <c r="A18" t="s">
        <v>205</v>
      </c>
      <c r="E18">
        <v>101.3</v>
      </c>
    </row>
    <row r="19" spans="1:12" x14ac:dyDescent="0.3">
      <c r="A19" t="s">
        <v>206</v>
      </c>
      <c r="B19">
        <v>0.6</v>
      </c>
      <c r="C19">
        <v>1.1000000000000001</v>
      </c>
      <c r="D19">
        <v>1.8</v>
      </c>
      <c r="E19">
        <v>1.8</v>
      </c>
      <c r="F19">
        <v>1.8</v>
      </c>
      <c r="G19">
        <v>1.8</v>
      </c>
      <c r="H19">
        <v>1.7</v>
      </c>
      <c r="I19">
        <v>1.8</v>
      </c>
      <c r="J19">
        <v>2.2000000000000002</v>
      </c>
      <c r="K19">
        <v>2.4</v>
      </c>
      <c r="L19">
        <v>2.5</v>
      </c>
    </row>
    <row r="20" spans="1:12" x14ac:dyDescent="0.3">
      <c r="A20" t="s">
        <v>207</v>
      </c>
      <c r="B20">
        <v>0.6</v>
      </c>
      <c r="C20">
        <v>1.1000000000000001</v>
      </c>
      <c r="D20">
        <v>1.8</v>
      </c>
      <c r="E20">
        <v>103.1</v>
      </c>
      <c r="F20">
        <v>1.8</v>
      </c>
      <c r="G20">
        <v>1.8</v>
      </c>
      <c r="H20">
        <v>1.7</v>
      </c>
      <c r="I20">
        <v>1.8</v>
      </c>
      <c r="J20">
        <v>2.2000000000000002</v>
      </c>
      <c r="K20">
        <v>2.4</v>
      </c>
      <c r="L20">
        <v>2.5</v>
      </c>
    </row>
    <row r="21" spans="1:12" x14ac:dyDescent="0.3">
      <c r="A21" t="s">
        <v>208</v>
      </c>
      <c r="B21">
        <v>1.2</v>
      </c>
      <c r="C21">
        <v>0.8</v>
      </c>
      <c r="D21">
        <v>0.5</v>
      </c>
      <c r="E21">
        <v>0.3</v>
      </c>
      <c r="F21">
        <v>0.2</v>
      </c>
      <c r="G21">
        <v>9.4</v>
      </c>
      <c r="H21">
        <v>9.1</v>
      </c>
      <c r="I21">
        <v>8.6999999999999993</v>
      </c>
      <c r="J21">
        <v>8.3000000000000007</v>
      </c>
      <c r="K21">
        <v>7.7</v>
      </c>
      <c r="L21">
        <v>7.9</v>
      </c>
    </row>
    <row r="22" spans="1:12" x14ac:dyDescent="0.3">
      <c r="A22" t="s">
        <v>209</v>
      </c>
    </row>
    <row r="23" spans="1:12" x14ac:dyDescent="0.3">
      <c r="A23" t="s">
        <v>210</v>
      </c>
      <c r="B23">
        <v>1.3</v>
      </c>
      <c r="C23">
        <v>0.5</v>
      </c>
      <c r="D23">
        <v>2.2000000000000002</v>
      </c>
      <c r="E23">
        <v>5.6</v>
      </c>
      <c r="F23">
        <v>8.1999999999999993</v>
      </c>
      <c r="G23">
        <v>2.2999999999999998</v>
      </c>
      <c r="H23">
        <v>3.8</v>
      </c>
      <c r="I23">
        <v>2.4</v>
      </c>
      <c r="J23">
        <v>3.1</v>
      </c>
      <c r="K23">
        <v>14.1</v>
      </c>
      <c r="L23">
        <v>9.3000000000000007</v>
      </c>
    </row>
    <row r="24" spans="1:12" x14ac:dyDescent="0.3">
      <c r="A24" t="s">
        <v>211</v>
      </c>
      <c r="B24">
        <v>3.1</v>
      </c>
      <c r="C24">
        <v>2.4</v>
      </c>
      <c r="D24">
        <v>4.5</v>
      </c>
      <c r="E24">
        <v>109</v>
      </c>
      <c r="F24">
        <v>10.199999999999999</v>
      </c>
      <c r="G24">
        <v>13.5</v>
      </c>
      <c r="H24">
        <v>14.6</v>
      </c>
      <c r="I24">
        <v>12.9</v>
      </c>
      <c r="J24">
        <v>13.6</v>
      </c>
      <c r="K24">
        <v>24.2</v>
      </c>
      <c r="L24">
        <v>19.7</v>
      </c>
    </row>
    <row r="25" spans="1:12" x14ac:dyDescent="0.3">
      <c r="A25" t="s">
        <v>17</v>
      </c>
      <c r="B25">
        <v>27</v>
      </c>
      <c r="C25">
        <v>30.1</v>
      </c>
      <c r="D25">
        <v>28.3</v>
      </c>
      <c r="E25">
        <v>153.1</v>
      </c>
      <c r="F25">
        <v>94.2</v>
      </c>
      <c r="G25">
        <v>66.900000000000006</v>
      </c>
      <c r="H25">
        <v>92.3</v>
      </c>
      <c r="I25">
        <v>78.400000000000006</v>
      </c>
      <c r="J25">
        <v>97.3</v>
      </c>
      <c r="K25">
        <v>217.1</v>
      </c>
      <c r="L25">
        <v>117.4</v>
      </c>
    </row>
    <row r="26" spans="1:12" x14ac:dyDescent="0.3">
      <c r="A26" t="s">
        <v>212</v>
      </c>
    </row>
    <row r="27" spans="1:12" x14ac:dyDescent="0.3">
      <c r="A27" t="s">
        <v>213</v>
      </c>
      <c r="B27">
        <v>0.3</v>
      </c>
      <c r="C27">
        <v>0.3</v>
      </c>
      <c r="D27">
        <v>7.7</v>
      </c>
      <c r="E27">
        <v>7.7</v>
      </c>
      <c r="G27">
        <v>5.4</v>
      </c>
      <c r="H27">
        <v>1.2</v>
      </c>
      <c r="I27">
        <v>4.8</v>
      </c>
      <c r="J27">
        <v>0.8</v>
      </c>
      <c r="K27">
        <v>0.8</v>
      </c>
      <c r="L27">
        <v>0.8</v>
      </c>
    </row>
    <row r="28" spans="1:12" x14ac:dyDescent="0.3">
      <c r="A28" t="s">
        <v>214</v>
      </c>
      <c r="B28">
        <v>0</v>
      </c>
      <c r="C28">
        <v>0</v>
      </c>
      <c r="E28">
        <v>0</v>
      </c>
      <c r="F28">
        <v>36.5</v>
      </c>
      <c r="G28">
        <v>0.1</v>
      </c>
      <c r="L28">
        <v>0.4</v>
      </c>
    </row>
    <row r="29" spans="1:12" x14ac:dyDescent="0.3">
      <c r="A29" t="s">
        <v>290</v>
      </c>
      <c r="B29">
        <v>0.8</v>
      </c>
      <c r="C29">
        <v>1.2</v>
      </c>
      <c r="D29">
        <v>2.1</v>
      </c>
      <c r="E29">
        <v>2.2000000000000002</v>
      </c>
      <c r="G29">
        <v>2.4</v>
      </c>
      <c r="H29">
        <v>2.2999999999999998</v>
      </c>
      <c r="I29">
        <v>3.1</v>
      </c>
      <c r="J29">
        <v>3.4</v>
      </c>
      <c r="K29">
        <v>7.4</v>
      </c>
      <c r="L29">
        <v>6.1</v>
      </c>
    </row>
    <row r="30" spans="1:12" x14ac:dyDescent="0.3">
      <c r="A30" t="s">
        <v>40</v>
      </c>
      <c r="B30">
        <v>0.1</v>
      </c>
      <c r="C30">
        <v>0.1</v>
      </c>
      <c r="D30">
        <v>0.2</v>
      </c>
      <c r="E30">
        <v>1.1000000000000001</v>
      </c>
      <c r="G30">
        <v>2.9</v>
      </c>
      <c r="H30">
        <v>1.8</v>
      </c>
      <c r="I30">
        <v>2.4</v>
      </c>
      <c r="J30">
        <v>2.2000000000000002</v>
      </c>
      <c r="K30">
        <v>2.6</v>
      </c>
      <c r="L30">
        <v>1.4</v>
      </c>
    </row>
    <row r="31" spans="1:12" x14ac:dyDescent="0.3">
      <c r="A31" t="s">
        <v>215</v>
      </c>
      <c r="B31">
        <v>17.899999999999999</v>
      </c>
      <c r="C31">
        <v>20.100000000000001</v>
      </c>
      <c r="D31">
        <v>14.7</v>
      </c>
      <c r="E31">
        <v>16.8</v>
      </c>
      <c r="F31">
        <v>27.9</v>
      </c>
      <c r="G31">
        <v>23.8</v>
      </c>
      <c r="H31">
        <v>50.3</v>
      </c>
      <c r="I31">
        <v>31.8</v>
      </c>
      <c r="J31">
        <v>49.4</v>
      </c>
      <c r="K31">
        <v>153.1</v>
      </c>
      <c r="L31">
        <v>59.2</v>
      </c>
    </row>
    <row r="32" spans="1:12" x14ac:dyDescent="0.3">
      <c r="A32" t="s">
        <v>216</v>
      </c>
      <c r="B32">
        <v>19.100000000000001</v>
      </c>
      <c r="C32">
        <v>21.7</v>
      </c>
      <c r="D32">
        <v>24.7</v>
      </c>
      <c r="E32">
        <v>27.9</v>
      </c>
      <c r="F32">
        <v>64.400000000000006</v>
      </c>
      <c r="G32">
        <v>34.6</v>
      </c>
      <c r="H32">
        <v>55.6</v>
      </c>
      <c r="I32">
        <v>42.1</v>
      </c>
      <c r="J32">
        <v>55.8</v>
      </c>
      <c r="K32">
        <v>163.9</v>
      </c>
      <c r="L32">
        <v>67.900000000000006</v>
      </c>
    </row>
    <row r="33" spans="1:12" x14ac:dyDescent="0.3">
      <c r="A33" t="s">
        <v>217</v>
      </c>
      <c r="B33">
        <v>0.7</v>
      </c>
      <c r="C33">
        <v>0.3</v>
      </c>
      <c r="D33">
        <v>0.1</v>
      </c>
      <c r="G33">
        <v>6.3</v>
      </c>
      <c r="H33">
        <v>5.7</v>
      </c>
      <c r="I33">
        <v>5.4</v>
      </c>
      <c r="J33">
        <v>5.8</v>
      </c>
      <c r="K33">
        <v>5.8</v>
      </c>
      <c r="L33">
        <v>5.3</v>
      </c>
    </row>
    <row r="34" spans="1:12" x14ac:dyDescent="0.3">
      <c r="A34" t="s">
        <v>148</v>
      </c>
    </row>
    <row r="35" spans="1:12" x14ac:dyDescent="0.3">
      <c r="A35" t="s">
        <v>218</v>
      </c>
      <c r="H35">
        <v>0.2</v>
      </c>
      <c r="I35">
        <v>0.1</v>
      </c>
      <c r="J35">
        <v>0.2</v>
      </c>
      <c r="K35">
        <v>0.2</v>
      </c>
      <c r="L35">
        <v>0.2</v>
      </c>
    </row>
    <row r="36" spans="1:12" x14ac:dyDescent="0.3">
      <c r="A36" t="s">
        <v>219</v>
      </c>
    </row>
    <row r="37" spans="1:12" x14ac:dyDescent="0.3">
      <c r="A37" t="s">
        <v>220</v>
      </c>
      <c r="B37">
        <v>0.6</v>
      </c>
      <c r="C37">
        <v>0.4</v>
      </c>
      <c r="D37">
        <v>0.5</v>
      </c>
      <c r="E37">
        <v>3.7</v>
      </c>
      <c r="F37">
        <v>4.9000000000000004</v>
      </c>
      <c r="G37">
        <v>0.5</v>
      </c>
      <c r="H37">
        <v>2.1</v>
      </c>
      <c r="I37">
        <v>0.9</v>
      </c>
      <c r="J37">
        <v>2.2999999999999998</v>
      </c>
      <c r="K37">
        <v>10.3</v>
      </c>
      <c r="L37">
        <v>5.2</v>
      </c>
    </row>
    <row r="38" spans="1:12" x14ac:dyDescent="0.3">
      <c r="A38" t="s">
        <v>221</v>
      </c>
      <c r="B38">
        <v>1.3</v>
      </c>
      <c r="C38">
        <v>0.7</v>
      </c>
      <c r="D38">
        <v>0.5</v>
      </c>
      <c r="E38">
        <v>3.7</v>
      </c>
      <c r="F38">
        <v>4.9000000000000004</v>
      </c>
      <c r="G38">
        <v>6.8</v>
      </c>
      <c r="H38">
        <v>8</v>
      </c>
      <c r="I38">
        <v>6.4</v>
      </c>
      <c r="J38">
        <v>8.3000000000000007</v>
      </c>
      <c r="K38">
        <v>16.3</v>
      </c>
      <c r="L38">
        <v>10.7</v>
      </c>
    </row>
    <row r="39" spans="1:12" x14ac:dyDescent="0.3">
      <c r="A39" t="s">
        <v>18</v>
      </c>
      <c r="B39">
        <v>20.399999999999999</v>
      </c>
      <c r="C39">
        <v>22.4</v>
      </c>
      <c r="D39">
        <v>25.2</v>
      </c>
      <c r="E39">
        <v>31.6</v>
      </c>
      <c r="F39">
        <v>69.3</v>
      </c>
      <c r="G39">
        <v>41.3</v>
      </c>
      <c r="H39">
        <v>63.6</v>
      </c>
      <c r="I39">
        <v>48.5</v>
      </c>
      <c r="J39">
        <v>64.099999999999994</v>
      </c>
      <c r="K39">
        <v>180.2</v>
      </c>
      <c r="L39">
        <v>78.599999999999994</v>
      </c>
    </row>
    <row r="40" spans="1:12" x14ac:dyDescent="0.3">
      <c r="A40" t="s">
        <v>222</v>
      </c>
    </row>
    <row r="41" spans="1:12" x14ac:dyDescent="0.3">
      <c r="A41" t="s">
        <v>223</v>
      </c>
      <c r="D41">
        <v>3.1</v>
      </c>
      <c r="E41">
        <v>0.1</v>
      </c>
      <c r="F41">
        <v>0.1</v>
      </c>
      <c r="G41">
        <v>0.1</v>
      </c>
      <c r="H41">
        <v>0.1</v>
      </c>
      <c r="I41">
        <v>0.1</v>
      </c>
      <c r="J41">
        <v>0.1</v>
      </c>
      <c r="K41">
        <v>0.1</v>
      </c>
      <c r="L41">
        <v>0.1</v>
      </c>
    </row>
    <row r="42" spans="1:12" x14ac:dyDescent="0.3">
      <c r="A42" t="s">
        <v>224</v>
      </c>
    </row>
    <row r="43" spans="1:12" x14ac:dyDescent="0.3">
      <c r="A43" t="s">
        <v>225</v>
      </c>
      <c r="D43">
        <v>3.1</v>
      </c>
      <c r="E43">
        <v>0.1</v>
      </c>
      <c r="F43">
        <v>0.1</v>
      </c>
      <c r="G43">
        <v>0.1</v>
      </c>
      <c r="H43">
        <v>0.1</v>
      </c>
      <c r="I43">
        <v>0.1</v>
      </c>
      <c r="J43">
        <v>0.1</v>
      </c>
      <c r="K43">
        <v>0.1</v>
      </c>
      <c r="L43">
        <v>0.1</v>
      </c>
    </row>
    <row r="44" spans="1:12" x14ac:dyDescent="0.3">
      <c r="A44" t="s">
        <v>226</v>
      </c>
      <c r="E44" s="96">
        <v>118.2</v>
      </c>
      <c r="F44">
        <v>12.7</v>
      </c>
      <c r="G44">
        <v>12.7</v>
      </c>
      <c r="H44">
        <v>12.7</v>
      </c>
      <c r="I44">
        <v>12.7</v>
      </c>
      <c r="J44">
        <v>12.7</v>
      </c>
      <c r="K44">
        <v>12.7</v>
      </c>
      <c r="L44">
        <v>12.7</v>
      </c>
    </row>
    <row r="45" spans="1:12" x14ac:dyDescent="0.3">
      <c r="A45" t="s">
        <v>227</v>
      </c>
    </row>
    <row r="46" spans="1:12" x14ac:dyDescent="0.3">
      <c r="A46" t="s">
        <v>228</v>
      </c>
      <c r="E46">
        <v>3.2</v>
      </c>
      <c r="F46">
        <v>7.6</v>
      </c>
      <c r="G46">
        <v>8.1</v>
      </c>
      <c r="H46">
        <v>11.2</v>
      </c>
      <c r="I46">
        <v>12.3</v>
      </c>
      <c r="J46">
        <v>15.5</v>
      </c>
      <c r="K46">
        <v>19.100000000000001</v>
      </c>
      <c r="L46">
        <v>21</v>
      </c>
    </row>
    <row r="47" spans="1:12" x14ac:dyDescent="0.3">
      <c r="A47" t="s">
        <v>229</v>
      </c>
      <c r="B47">
        <v>6.7</v>
      </c>
      <c r="C47">
        <v>7.7</v>
      </c>
      <c r="F47">
        <v>4.5</v>
      </c>
      <c r="G47">
        <v>4.7</v>
      </c>
      <c r="H47">
        <v>4.7</v>
      </c>
      <c r="I47">
        <v>4.8</v>
      </c>
      <c r="J47">
        <v>4.9000000000000004</v>
      </c>
      <c r="K47">
        <v>5</v>
      </c>
      <c r="L47">
        <v>5</v>
      </c>
    </row>
    <row r="48" spans="1:12" x14ac:dyDescent="0.3">
      <c r="A48" t="s">
        <v>230</v>
      </c>
      <c r="B48">
        <v>6.7</v>
      </c>
      <c r="C48">
        <v>7.7</v>
      </c>
      <c r="D48">
        <v>3.1</v>
      </c>
      <c r="E48">
        <v>121.5</v>
      </c>
      <c r="F48">
        <v>24.9</v>
      </c>
      <c r="G48">
        <v>25.5</v>
      </c>
      <c r="H48">
        <v>28.7</v>
      </c>
      <c r="I48">
        <v>29.9</v>
      </c>
      <c r="J48">
        <v>33.200000000000003</v>
      </c>
      <c r="K48">
        <v>36.9</v>
      </c>
      <c r="L48">
        <v>38.799999999999997</v>
      </c>
    </row>
    <row r="49" spans="1:12" x14ac:dyDescent="0.3">
      <c r="A49" t="s">
        <v>231</v>
      </c>
    </row>
    <row r="50" spans="1:12" x14ac:dyDescent="0.3">
      <c r="A50" t="s">
        <v>23</v>
      </c>
      <c r="B50">
        <v>6.7</v>
      </c>
      <c r="C50">
        <v>7.7</v>
      </c>
      <c r="D50">
        <v>3.1</v>
      </c>
      <c r="E50">
        <v>121.5</v>
      </c>
      <c r="F50">
        <v>24.9</v>
      </c>
      <c r="G50">
        <v>25.5</v>
      </c>
      <c r="H50">
        <v>28.7</v>
      </c>
      <c r="I50">
        <v>29.9</v>
      </c>
      <c r="J50">
        <v>33.200000000000003</v>
      </c>
      <c r="K50">
        <v>36.9</v>
      </c>
      <c r="L50">
        <v>38.799999999999997</v>
      </c>
    </row>
    <row r="51" spans="1:12" x14ac:dyDescent="0.3">
      <c r="A51" t="s">
        <v>232</v>
      </c>
      <c r="B51">
        <v>27</v>
      </c>
      <c r="C51">
        <v>30.1</v>
      </c>
      <c r="D51">
        <v>28.3</v>
      </c>
      <c r="E51">
        <v>153.1</v>
      </c>
      <c r="F51">
        <v>94.2</v>
      </c>
      <c r="G51">
        <v>66.900000000000006</v>
      </c>
      <c r="H51">
        <v>92.3</v>
      </c>
      <c r="I51">
        <v>78.400000000000006</v>
      </c>
      <c r="J51">
        <v>97.3</v>
      </c>
      <c r="K51">
        <v>217.1</v>
      </c>
      <c r="L51">
        <v>117.4</v>
      </c>
    </row>
    <row r="52" spans="1:12" x14ac:dyDescent="0.3">
      <c r="A52" t="s">
        <v>233</v>
      </c>
    </row>
    <row r="53" spans="1:12" x14ac:dyDescent="0.3">
      <c r="A53" t="s">
        <v>234</v>
      </c>
      <c r="B53">
        <v>0.7</v>
      </c>
      <c r="C53">
        <v>0.3</v>
      </c>
      <c r="D53">
        <v>0.1</v>
      </c>
      <c r="G53">
        <v>6.3</v>
      </c>
      <c r="H53">
        <v>5.7</v>
      </c>
      <c r="I53">
        <v>5.4</v>
      </c>
      <c r="J53">
        <v>5.8</v>
      </c>
      <c r="K53">
        <v>5.8</v>
      </c>
      <c r="L53">
        <v>5.3</v>
      </c>
    </row>
    <row r="54" spans="1:12" x14ac:dyDescent="0.3">
      <c r="A54" t="s">
        <v>235</v>
      </c>
      <c r="B54">
        <v>0.7</v>
      </c>
      <c r="C54">
        <v>0.3</v>
      </c>
      <c r="D54">
        <v>0.1</v>
      </c>
      <c r="G54">
        <v>6.3</v>
      </c>
      <c r="H54">
        <v>5.7</v>
      </c>
      <c r="I54">
        <v>5.4</v>
      </c>
      <c r="J54">
        <v>5.8</v>
      </c>
      <c r="K54">
        <v>5.8</v>
      </c>
      <c r="L54">
        <v>5.3</v>
      </c>
    </row>
    <row r="55" spans="1:12" x14ac:dyDescent="0.3">
      <c r="A55" t="s">
        <v>236</v>
      </c>
      <c r="B55">
        <v>0.3</v>
      </c>
      <c r="C55">
        <v>0.3</v>
      </c>
      <c r="D55">
        <v>0.3</v>
      </c>
      <c r="E55">
        <v>0.2</v>
      </c>
      <c r="G55">
        <v>0.7</v>
      </c>
      <c r="H55">
        <v>1.2</v>
      </c>
      <c r="I55">
        <v>1.6</v>
      </c>
      <c r="J55">
        <v>0.8</v>
      </c>
      <c r="K55">
        <v>0.8</v>
      </c>
      <c r="L55">
        <v>0.8</v>
      </c>
    </row>
    <row r="56" spans="1:12" x14ac:dyDescent="0.3">
      <c r="A56" t="s">
        <v>237</v>
      </c>
      <c r="B56">
        <v>0.3</v>
      </c>
      <c r="C56">
        <v>0.3</v>
      </c>
      <c r="D56">
        <v>7.7</v>
      </c>
      <c r="E56">
        <v>7.7</v>
      </c>
      <c r="G56">
        <v>5.4</v>
      </c>
      <c r="H56">
        <v>1.2</v>
      </c>
      <c r="I56">
        <v>4.8</v>
      </c>
      <c r="J56">
        <v>0.8</v>
      </c>
      <c r="K56">
        <v>0.8</v>
      </c>
      <c r="L56">
        <v>0.8</v>
      </c>
    </row>
    <row r="57" spans="1:12" x14ac:dyDescent="0.3">
      <c r="A57" t="s">
        <v>238</v>
      </c>
      <c r="B57">
        <v>0.9</v>
      </c>
      <c r="C57">
        <v>0.6</v>
      </c>
      <c r="D57">
        <v>7.8</v>
      </c>
      <c r="E57">
        <v>7.7</v>
      </c>
      <c r="G57">
        <v>11.7</v>
      </c>
      <c r="H57">
        <v>6.9</v>
      </c>
      <c r="I57">
        <v>10.199999999999999</v>
      </c>
      <c r="J57">
        <v>6.6</v>
      </c>
      <c r="K57">
        <v>6.6</v>
      </c>
      <c r="L57">
        <v>6.1</v>
      </c>
    </row>
    <row r="58" spans="1:12" x14ac:dyDescent="0.3">
      <c r="A58" t="s">
        <v>202</v>
      </c>
      <c r="B58">
        <v>14.5</v>
      </c>
      <c r="C58">
        <v>12.7</v>
      </c>
      <c r="D58">
        <v>13.2</v>
      </c>
      <c r="E58">
        <v>32.1</v>
      </c>
      <c r="F58">
        <v>22.7</v>
      </c>
      <c r="G58">
        <v>37.200000000000003</v>
      </c>
      <c r="H58">
        <v>26.8</v>
      </c>
      <c r="I58">
        <v>43.3</v>
      </c>
      <c r="J58">
        <v>37.9</v>
      </c>
      <c r="K58">
        <v>51.6</v>
      </c>
      <c r="L58">
        <v>29</v>
      </c>
    </row>
    <row r="59" spans="1:12" x14ac:dyDescent="0.3">
      <c r="A59" t="s">
        <v>140</v>
      </c>
      <c r="B59">
        <v>-13.6</v>
      </c>
      <c r="C59">
        <v>-12.1</v>
      </c>
      <c r="D59">
        <v>-5.5</v>
      </c>
      <c r="E59">
        <v>-24.4</v>
      </c>
      <c r="F59">
        <v>-22.7</v>
      </c>
      <c r="G59">
        <v>-25.5</v>
      </c>
      <c r="H59">
        <v>-19.899999999999999</v>
      </c>
      <c r="I59">
        <v>-33.1</v>
      </c>
      <c r="J59">
        <v>-31.3</v>
      </c>
      <c r="K59">
        <v>-45</v>
      </c>
      <c r="L59">
        <v>-22.9</v>
      </c>
    </row>
    <row r="60" spans="1:12" x14ac:dyDescent="0.3">
      <c r="A60" t="s">
        <v>239</v>
      </c>
    </row>
    <row r="61" spans="1:12" x14ac:dyDescent="0.3">
      <c r="A61" t="s">
        <v>141</v>
      </c>
      <c r="B61">
        <v>6.7</v>
      </c>
      <c r="C61">
        <v>7.7</v>
      </c>
      <c r="D61">
        <v>3.1</v>
      </c>
      <c r="E61">
        <v>121.5</v>
      </c>
      <c r="F61">
        <v>24.9</v>
      </c>
      <c r="G61">
        <v>25.5</v>
      </c>
      <c r="H61">
        <v>28.7</v>
      </c>
      <c r="I61">
        <v>29.9</v>
      </c>
      <c r="J61">
        <v>33.200000000000003</v>
      </c>
      <c r="K61">
        <v>36.9</v>
      </c>
      <c r="L61">
        <v>38.799999999999997</v>
      </c>
    </row>
    <row r="62" spans="1:12" x14ac:dyDescent="0.3">
      <c r="A62" t="s">
        <v>240</v>
      </c>
      <c r="B62">
        <v>6.1</v>
      </c>
      <c r="C62">
        <v>6.6</v>
      </c>
      <c r="D62">
        <v>1.3</v>
      </c>
      <c r="E62">
        <v>18.399999999999999</v>
      </c>
      <c r="F62">
        <v>23.1</v>
      </c>
      <c r="G62">
        <v>23.8</v>
      </c>
      <c r="H62">
        <v>27</v>
      </c>
      <c r="I62">
        <v>28.1</v>
      </c>
      <c r="J62">
        <v>31</v>
      </c>
      <c r="K62">
        <v>34.5</v>
      </c>
      <c r="L62">
        <v>36.299999999999997</v>
      </c>
    </row>
    <row r="63" spans="1:12" x14ac:dyDescent="0.3">
      <c r="A63" t="s">
        <v>241</v>
      </c>
      <c r="B63">
        <v>5.9</v>
      </c>
      <c r="C63">
        <v>6.8</v>
      </c>
      <c r="D63">
        <v>2.7</v>
      </c>
      <c r="E63">
        <v>107.3</v>
      </c>
      <c r="F63">
        <v>22</v>
      </c>
      <c r="G63">
        <v>22.5</v>
      </c>
      <c r="H63">
        <v>25.4</v>
      </c>
      <c r="I63">
        <v>26.4</v>
      </c>
      <c r="J63">
        <v>29.3</v>
      </c>
      <c r="K63">
        <v>32.6</v>
      </c>
      <c r="L63">
        <v>34.299999999999997</v>
      </c>
    </row>
    <row r="64" spans="1:12" x14ac:dyDescent="0.3">
      <c r="A64" t="s">
        <v>242</v>
      </c>
      <c r="B64">
        <v>5.4</v>
      </c>
      <c r="C64">
        <v>5.8</v>
      </c>
      <c r="D64">
        <v>1.2</v>
      </c>
      <c r="E64">
        <v>16.2</v>
      </c>
      <c r="F64">
        <v>20.399999999999999</v>
      </c>
      <c r="G64">
        <v>21</v>
      </c>
      <c r="H64">
        <v>23.8</v>
      </c>
      <c r="I64">
        <v>24.8</v>
      </c>
      <c r="J64">
        <v>27.4</v>
      </c>
      <c r="K64">
        <v>30.5</v>
      </c>
      <c r="L64">
        <v>32.1</v>
      </c>
    </row>
    <row r="65" spans="1:12" x14ac:dyDescent="0.3">
      <c r="A65" t="s">
        <v>243</v>
      </c>
    </row>
    <row r="66" spans="1:12" x14ac:dyDescent="0.3">
      <c r="A66" t="s">
        <v>244</v>
      </c>
      <c r="B66">
        <v>4.8</v>
      </c>
      <c r="C66">
        <v>6</v>
      </c>
      <c r="D66">
        <v>-0.8</v>
      </c>
      <c r="E66">
        <v>16.2</v>
      </c>
      <c r="F66">
        <v>19.600000000000001</v>
      </c>
      <c r="G66">
        <v>18.8</v>
      </c>
      <c r="H66">
        <v>22.1</v>
      </c>
      <c r="I66">
        <v>23.4</v>
      </c>
      <c r="J66">
        <v>27.9</v>
      </c>
      <c r="K66">
        <v>29</v>
      </c>
      <c r="L66">
        <v>29.8</v>
      </c>
    </row>
    <row r="67" spans="1:12" x14ac:dyDescent="0.3">
      <c r="A67" t="s">
        <v>245</v>
      </c>
    </row>
  </sheetData>
  <sheetProtection algorithmName="SHA-512" hashValue="4IAPnkDNJ6p0V1md3O1tqpRtd/DqMz7J5wQGpZKnFErwBEgq7v72F2hSZ2AfxUHlQl1U8+h7XQfkgdONH8vJMA==" saltValue="ARSz/qp9ckGKX5Ku/sNeeQ==" spinCount="100000" sheet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summary</vt:lpstr>
      <vt:lpstr>WACC</vt:lpstr>
      <vt:lpstr>detailed-financials</vt:lpstr>
      <vt:lpstr>checks</vt:lpstr>
      <vt:lpstr>sources&gt;&gt;&gt;</vt:lpstr>
      <vt:lpstr>forecasts</vt:lpstr>
      <vt:lpstr>p&amp;l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2022-10-29T12:00:07Z</dcterms:created>
  <dcterms:modified xsi:type="dcterms:W3CDTF">2023-05-08T16:38:20Z</dcterms:modified>
</cp:coreProperties>
</file>